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7595" windowHeight="12240" activeTab="0"/>
  </bookViews>
  <sheets>
    <sheet name="Übersicht" sheetId="1" r:id="rId1"/>
    <sheet name="Büro" sheetId="2" r:id="rId2"/>
    <sheet name="AMoAfA" sheetId="3" r:id="rId3"/>
    <sheet name="AMmAfA" sheetId="4" r:id="rId4"/>
    <sheet name="TK" sheetId="5" r:id="rId5"/>
    <sheet name="EigPos" sheetId="6" r:id="rId6"/>
    <sheet name="Reise" sheetId="7" r:id="rId7"/>
    <sheet name="Lit" sheetId="8" r:id="rId8"/>
    <sheet name="Bank" sheetId="9" r:id="rId9"/>
    <sheet name="Porto" sheetId="10" r:id="rId10"/>
    <sheet name="AZi" sheetId="11" r:id="rId11"/>
    <sheet name="Bew" sheetId="12" r:id="rId12"/>
    <sheet name="Sonst" sheetId="13" r:id="rId13"/>
    <sheet name="MW" sheetId="14" r:id="rId14"/>
    <sheet name="PKW" sheetId="15" r:id="rId15"/>
  </sheets>
  <definedNames>
    <definedName name="AusgApr">'Übersicht'!$E$20</definedName>
    <definedName name="AusgAug">'Übersicht'!$I$20</definedName>
    <definedName name="AusgDez">'Übersicht'!$M$20</definedName>
    <definedName name="AusgFeb">'Übersicht'!$C$20</definedName>
    <definedName name="AusgJan">'Übersicht'!$B$20</definedName>
    <definedName name="AusgJul">'Übersicht'!$H$20</definedName>
    <definedName name="AusgJun">'Übersicht'!$G$20</definedName>
    <definedName name="AusgMai">'Übersicht'!$F$20</definedName>
    <definedName name="AusgMär">'Übersicht'!$D$20</definedName>
    <definedName name="AusgNov">'Übersicht'!$L$20</definedName>
    <definedName name="AusgOkt">'Übersicht'!$K$20</definedName>
    <definedName name="AusgSep">'Übersicht'!$J$20</definedName>
    <definedName name="KostenAMmitAfAApr">'AMmAfA'!$L$5</definedName>
    <definedName name="KostenAMmitAfAAug">'AMmAfA'!$L$9</definedName>
    <definedName name="KostenAMmitAfADez">'AMmAfA'!$L$13</definedName>
    <definedName name="KostenAMmitAfAFeb">'AMmAfA'!$L$3</definedName>
    <definedName name="KostenAMmitAfAJan">'AMmAfA'!$L$2</definedName>
    <definedName name="KostenAMmitAfAJul">'AMmAfA'!$L$8</definedName>
    <definedName name="KostenAMmitAfAJun">'AMmAfA'!$L$7</definedName>
    <definedName name="KostenAMmitAfAMai">'AMmAfA'!$L$6</definedName>
    <definedName name="KostenAMmitAfAMär">'AMmAfA'!$L$4</definedName>
    <definedName name="KostenAMmitAfANov">'AMmAfA'!$L$12</definedName>
    <definedName name="KostenAMmitAfAOkt">'AMmAfA'!$L$11</definedName>
    <definedName name="KostenAMmitAfASep">'AMmAfA'!$L$10</definedName>
    <definedName name="KostenAMohneAfAApr">'AMoAfA'!$L$5</definedName>
    <definedName name="KostenAMohneAfAAug">'AMoAfA'!$L$9</definedName>
    <definedName name="KostenAMohneAfADez">'AMoAfA'!$L$13</definedName>
    <definedName name="KostenAMohneAfAFeb">'AMoAfA'!$L$3</definedName>
    <definedName name="KostenAMohneAfAJan">'AMoAfA'!$L$2</definedName>
    <definedName name="KostenAMohneAfAJul">'AMoAfA'!$L$8</definedName>
    <definedName name="KostenAMohneAfAJun">'AMoAfA'!$L$7</definedName>
    <definedName name="KostenAMohneAfAMai">'AMoAfA'!$L$6</definedName>
    <definedName name="KostenAMohneAfAMär">'AMoAfA'!$L$4</definedName>
    <definedName name="KostenAMohneAfANov">'AMoAfA'!$L$12</definedName>
    <definedName name="KostenAMohneAfAOkt">'AMoAfA'!$L$11</definedName>
    <definedName name="KostenAMohneAfASep">'AMoAfA'!$L$10</definedName>
    <definedName name="KostenArbZiApr">'AZi'!$L$5</definedName>
    <definedName name="KostenArbZiAug">'AZi'!$L$9</definedName>
    <definedName name="KostenArbZiDez">'AZi'!$L$13</definedName>
    <definedName name="KostenArbZiFeb">'AZi'!$L$3</definedName>
    <definedName name="KostenArbZiJan">'AZi'!$L$2</definedName>
    <definedName name="KostenArbZiJul">'AZi'!$L$8</definedName>
    <definedName name="KostenArbZiJun">'AZi'!$L$7</definedName>
    <definedName name="KostenArbZiMai">'AZi'!$L$6</definedName>
    <definedName name="KostenArbZiMär">'AZi'!$L$4</definedName>
    <definedName name="KostenArbZiNov">'AZi'!$L$12</definedName>
    <definedName name="KostenArbZiOkt">'AZi'!$L$11</definedName>
    <definedName name="KostenArbZiSep">'AZi'!$L$10</definedName>
    <definedName name="KostenBankApr">'Bank'!$L$5</definedName>
    <definedName name="KostenBankAug">'Bank'!$L$9</definedName>
    <definedName name="KostenBankDez">'Bank'!$L$13</definedName>
    <definedName name="KostenBankFeb">'Bank'!$L$3</definedName>
    <definedName name="KostenBankJan">'Bank'!$L$2</definedName>
    <definedName name="KostenBankJul">'Bank'!$L$8</definedName>
    <definedName name="KostenBankJun">'Bank'!$L$7</definedName>
    <definedName name="KostenBankMai">'Bank'!$L$6</definedName>
    <definedName name="KostenBankMär">'Bank'!$L$4</definedName>
    <definedName name="KostenBankNov">'Bank'!$L$12</definedName>
    <definedName name="KostenBankOkt">'Bank'!$L$11</definedName>
    <definedName name="KostenBankSep">'Bank'!$L$10</definedName>
    <definedName name="KostenBewApr">'Bew'!$L$5</definedName>
    <definedName name="KostenBewAug">'Bew'!$L$9</definedName>
    <definedName name="KostenBewDez">'Bew'!$L$13</definedName>
    <definedName name="KostenBewFeb">'Bew'!$L$3</definedName>
    <definedName name="KostenBewJan">'Bew'!$L$2</definedName>
    <definedName name="KostenBewJul">'Bew'!$L$8</definedName>
    <definedName name="KostenBewJun">'Bew'!$L$7</definedName>
    <definedName name="KostenBewMai">'Bew'!$L$6</definedName>
    <definedName name="KostenBewMär">'Bew'!$L$4</definedName>
    <definedName name="KostenBewNov">'Bew'!$L$12</definedName>
    <definedName name="KostenBewOkt">'Bew'!$L$11</definedName>
    <definedName name="KostenBewSep">'Bew'!$L$10</definedName>
    <definedName name="KostenBüroApr">'Büro'!$L$5</definedName>
    <definedName name="KostenBüroAug">'Büro'!$L$9</definedName>
    <definedName name="KostenBüroDez">'Büro'!$L$13</definedName>
    <definedName name="KostenBüroFeb">'Büro'!$L$3</definedName>
    <definedName name="KostenBüroJan">'Büro'!$L$2</definedName>
    <definedName name="KostenBüroJul">'Büro'!$L$8</definedName>
    <definedName name="KostenBüroJun">'Büro'!$L$7</definedName>
    <definedName name="KostenBüroMai">'Büro'!$L$6</definedName>
    <definedName name="KostenBüroMär">'Büro'!$L$4</definedName>
    <definedName name="KostenBüroNov">'Büro'!$L$12</definedName>
    <definedName name="KostenBüroOkt">'Büro'!$L$11</definedName>
    <definedName name="KostenBüroSep">'Büro'!$L$10</definedName>
    <definedName name="KostenEigPosApr">'EigPos'!$L$5</definedName>
    <definedName name="KostenEigPosAug">'EigPos'!$L$9</definedName>
    <definedName name="KostenEigPosDez">'EigPos'!$L$13</definedName>
    <definedName name="KostenEigPosFeb">'EigPos'!$L$3</definedName>
    <definedName name="KostenEigPosJan">'EigPos'!$L$2</definedName>
    <definedName name="KostenEigPosJul">'EigPos'!$L$8</definedName>
    <definedName name="KostenEigPosJun">'EigPos'!$L$7</definedName>
    <definedName name="KostenEigPosMai">'EigPos'!$L$6</definedName>
    <definedName name="KostenEigPosMär">'EigPos'!$L$4</definedName>
    <definedName name="KostenEigPosNov">'EigPos'!$L$12</definedName>
    <definedName name="KostenEigPosOkt">'EigPos'!$L$11</definedName>
    <definedName name="KostenEigPosSep">'EigPos'!$L$10</definedName>
    <definedName name="KostenLitApr">'Lit'!$L$5</definedName>
    <definedName name="KostenLitAug">'Lit'!$L$9</definedName>
    <definedName name="KostenLitDez">'Lit'!$L$13</definedName>
    <definedName name="KostenLitFeb">'Lit'!$L$3</definedName>
    <definedName name="KostenLitJan">'Lit'!$L$2</definedName>
    <definedName name="KostenLitJul">'Lit'!$L$8</definedName>
    <definedName name="KostenLitJun">'Lit'!$L$7</definedName>
    <definedName name="KostenLitMai">'Lit'!$L$6</definedName>
    <definedName name="KostenLitMär">'Lit'!$L$4</definedName>
    <definedName name="KostenLitNov">'Lit'!$L$12</definedName>
    <definedName name="KostenLitOkt">'Lit'!$L$11</definedName>
    <definedName name="KostenLitSep">'Lit'!$L$10</definedName>
    <definedName name="KostenMWApr">'MW'!$L$5</definedName>
    <definedName name="KostenMWAug">'MW'!$L$9</definedName>
    <definedName name="KostenMWDez">'MW'!$L$13</definedName>
    <definedName name="KostenMWFeb">'MW'!$L$3</definedName>
    <definedName name="KostenMWJan">'MW'!$L$2</definedName>
    <definedName name="KostenMWJul">'MW'!$L$8</definedName>
    <definedName name="KostenMWJun">'MW'!$L$7</definedName>
    <definedName name="KostenMWMai">'MW'!$L$6</definedName>
    <definedName name="KostenMWMär">'MW'!$L$4</definedName>
    <definedName name="KostenMWNov">'MW'!$L$12</definedName>
    <definedName name="KostenMWOkt">'MW'!$L$11</definedName>
    <definedName name="KostenMWSep">'MW'!$L$10</definedName>
    <definedName name="KostenPKWApr">'PKW'!$L$5</definedName>
    <definedName name="KostenPKWAug">'PKW'!$L$9</definedName>
    <definedName name="KostenPKWDez">'PKW'!$L$13</definedName>
    <definedName name="KostenPKWFeb">'PKW'!$L$3</definedName>
    <definedName name="KostenPKWJan">'PKW'!$L$2</definedName>
    <definedName name="KostenPKWJul">'PKW'!$L$8</definedName>
    <definedName name="KostenPKWJun">'PKW'!$L$7</definedName>
    <definedName name="KostenPKWMai">'PKW'!$L$6</definedName>
    <definedName name="KostenPKWMär">'PKW'!$L$4</definedName>
    <definedName name="KostenPKWNov">'PKW'!$L$12</definedName>
    <definedName name="KostenPKWOkt">'PKW'!$L$11</definedName>
    <definedName name="KostenPKWSep">'PKW'!$L$10</definedName>
    <definedName name="KostenPortoApr">'Porto'!$L$5</definedName>
    <definedName name="KostenPortoAug">'Porto'!$L$9</definedName>
    <definedName name="KostenPortoDez">'Porto'!$L$13</definedName>
    <definedName name="KostenPortoFeb">'Porto'!$L$3</definedName>
    <definedName name="KostenPortoJan">'Porto'!$L$2</definedName>
    <definedName name="KostenPortoJul">'Porto'!$L$8</definedName>
    <definedName name="KostenPortoJun">'Porto'!$L$7</definedName>
    <definedName name="KostenPortoMai">'Porto'!$L$6</definedName>
    <definedName name="KostenPortoMär">'Porto'!$L$4</definedName>
    <definedName name="KostenPortoNov">'Porto'!$L$12</definedName>
    <definedName name="KostenPortoOkt">'Porto'!$L$11</definedName>
    <definedName name="KostenPortoSep">'Porto'!$L$10</definedName>
    <definedName name="KostenReiseApr">'Reise'!$M$5</definedName>
    <definedName name="KostenReiseAug">'Reise'!$M$9</definedName>
    <definedName name="KostenReiseDez">'Reise'!$M$13</definedName>
    <definedName name="KostenReiseFeb">'Reise'!$M$3</definedName>
    <definedName name="KostenReiseJan">'Reise'!$M$2</definedName>
    <definedName name="KostenReiseJul">'Reise'!$M$8</definedName>
    <definedName name="KostenReiseJun">'Reise'!$M$7</definedName>
    <definedName name="KostenReiseMai">'Reise'!$M$6</definedName>
    <definedName name="KostenReiseMär">'Reise'!$M$4</definedName>
    <definedName name="KostenReiseNov">'Reise'!$M$12</definedName>
    <definedName name="KostenReiseOkt">'Reise'!$M$11</definedName>
    <definedName name="KostenReiseSep">'Reise'!$M$10</definedName>
    <definedName name="KostenSonstApr">'Sonst'!$L$5</definedName>
    <definedName name="KostenSonstAug">'Sonst'!$L$9</definedName>
    <definedName name="KostenSonstDez">'Sonst'!$L$13</definedName>
    <definedName name="KostenSonstFeb">'Sonst'!$L$3</definedName>
    <definedName name="KostenSonstJan">'Sonst'!$L$2</definedName>
    <definedName name="KostenSonstJul">'Sonst'!$L$8</definedName>
    <definedName name="KostenSonstJun">'Sonst'!$L$7</definedName>
    <definedName name="KostenSonstMai">'Sonst'!$L$6</definedName>
    <definedName name="KostenSonstMär">'Sonst'!$L$4</definedName>
    <definedName name="KostenSonstNov">'Sonst'!$L$12</definedName>
    <definedName name="KostenSonstOkt">'Sonst'!$L$11</definedName>
    <definedName name="KostenSonstSep">'Sonst'!$L$10</definedName>
    <definedName name="KostenTKApr">'TK'!$L$5</definedName>
    <definedName name="KostenTKAug">'TK'!$L$9</definedName>
    <definedName name="KostenTKDez">'TK'!$L$13</definedName>
    <definedName name="KostenTKFeb">'TK'!$L$3</definedName>
    <definedName name="KostenTKJan">'TK'!$L$2</definedName>
    <definedName name="KostenTKJul">'TK'!$L$8</definedName>
    <definedName name="KostenTKJun">'TK'!$L$7</definedName>
    <definedName name="KostenTKMai">'TK'!$L$6</definedName>
    <definedName name="KostenTKMär">'TK'!$L$4</definedName>
    <definedName name="KostenTKNov">'TK'!$L$12</definedName>
    <definedName name="KostenTKOkt">'TK'!$L$11</definedName>
    <definedName name="KostenTKSep">'TK'!$L$10</definedName>
    <definedName name="SteuerJahr">'Übersicht'!$A$2</definedName>
    <definedName name="VStAMmitAfAApr">'AMmAfA'!$M$5</definedName>
    <definedName name="VStAMmitAfAAug">'AMmAfA'!$M$9</definedName>
    <definedName name="VStAMmitAfADez">'AMmAfA'!$M$13</definedName>
    <definedName name="VStAMmitAfAFeb">'AMmAfA'!$M$3</definedName>
    <definedName name="VStAMmitAfAJan">'AMmAfA'!$M$2</definedName>
    <definedName name="VStAMmitAfAJul">'AMmAfA'!$M$8</definedName>
    <definedName name="VStAMmitAfAJun">'AMmAfA'!$M$7</definedName>
    <definedName name="VStAMmitAfAMai">'AMmAfA'!$M$6</definedName>
    <definedName name="VStAMmitAfAMär">'AMmAfA'!$M$4</definedName>
    <definedName name="VStAMmitAfANov">'AMmAfA'!$M$12</definedName>
    <definedName name="VStAMmitAfAOkt">'AMmAfA'!$M$11</definedName>
    <definedName name="VStAMmitAfASep">'AMmAfA'!$M$10</definedName>
    <definedName name="VStAMohneAfAApr">'AMoAfA'!$M$5</definedName>
    <definedName name="VStAMohneAfAAug">'AMoAfA'!$M$9</definedName>
    <definedName name="VStAMohneAfADez">'AMoAfA'!$M$13</definedName>
    <definedName name="VStAMohneAfAFeb">'AMoAfA'!$M$3</definedName>
    <definedName name="VStAMohneAfAJan">'AMoAfA'!$M$2</definedName>
    <definedName name="VStAMohneAfAJul">'AMoAfA'!$M$8</definedName>
    <definedName name="VStAMohneAfAJun">'AMoAfA'!$M$7</definedName>
    <definedName name="VStAMohneAfAMai">'AMoAfA'!$M$6</definedName>
    <definedName name="VStAMohneAfAMär">'AMoAfA'!$M$4</definedName>
    <definedName name="VStAMohneAfANov">'AMoAfA'!$M$12</definedName>
    <definedName name="VStAMohneAfAOkt">'AMoAfA'!$M$11</definedName>
    <definedName name="VStAMohneAfASep">'AMoAfA'!$M$10</definedName>
    <definedName name="VStApr">'Übersicht'!$E$38</definedName>
    <definedName name="VStArbZiApr">'AZi'!$M$5</definedName>
    <definedName name="VStArbZiAug">'AZi'!$M$9</definedName>
    <definedName name="VStArbZiDez">'AZi'!$M$13</definedName>
    <definedName name="VStArbZiFeb">'AZi'!$M$3</definedName>
    <definedName name="VStArbZiJan">'AZi'!$M$2</definedName>
    <definedName name="VStArbZiJul">'AZi'!$M$8</definedName>
    <definedName name="VStArbZiJun">'AZi'!$M$7</definedName>
    <definedName name="VStArbZiMai">'AZi'!$M$6</definedName>
    <definedName name="VStArbZiMär">'AZi'!$M$4</definedName>
    <definedName name="VStArbZiNov">'AZi'!$M$12</definedName>
    <definedName name="VStArbZiOkt">'AZi'!$M$11</definedName>
    <definedName name="VStArbZiSep">'AZi'!$M$10</definedName>
    <definedName name="VStAug">'Übersicht'!$I$38</definedName>
    <definedName name="VStBankApr">'Bank'!$M$5</definedName>
    <definedName name="VStBankAug">'Bank'!$M$9</definedName>
    <definedName name="VStBankDez">'Bank'!$M$13</definedName>
    <definedName name="VStBankFeb">'Bank'!$M$3</definedName>
    <definedName name="VStBankJan">'Bank'!$M$2</definedName>
    <definedName name="VStBankJul">'Bank'!$M$8</definedName>
    <definedName name="VStBankJun">'Bank'!$M$7</definedName>
    <definedName name="VStBankMai">'Bank'!$M$6</definedName>
    <definedName name="VStBankMär">'Bank'!$M$4</definedName>
    <definedName name="VStBankNov">'Bank'!$M$12</definedName>
    <definedName name="VStBankOkt">'Bank'!$M$11</definedName>
    <definedName name="VStBankSep">'Bank'!$M$10</definedName>
    <definedName name="VStBewApr">'Bew'!$M$5</definedName>
    <definedName name="VStBewAug">'Bew'!$M$9</definedName>
    <definedName name="VStBewDez">'Bew'!$M$13</definedName>
    <definedName name="VStBewFeb">'Bew'!$M$3</definedName>
    <definedName name="VStBewJan">'Bew'!$M$2</definedName>
    <definedName name="VStBewJul">'Bew'!$M$8</definedName>
    <definedName name="VStBewJun">'Bew'!$M$7</definedName>
    <definedName name="VStBewMai">'Bew'!$M$6</definedName>
    <definedName name="VStBewMär">'Bew'!$M$4</definedName>
    <definedName name="VStBewNov">'Bew'!$M$12</definedName>
    <definedName name="VStBewOkt">'Bew'!$M$11</definedName>
    <definedName name="VStBewSep">'Bew'!$M$10</definedName>
    <definedName name="VStBüroApr">'Büro'!$M$5</definedName>
    <definedName name="VStBüroAug">'Büro'!$M$9</definedName>
    <definedName name="VStBüroDez">'Büro'!$M$13</definedName>
    <definedName name="VStBüroFeb">'Büro'!$M$3</definedName>
    <definedName name="VStBüroJan">'Büro'!$M$2</definedName>
    <definedName name="VStBüroJul">'Büro'!$M$8</definedName>
    <definedName name="VStBüroJun">'Büro'!$M$7</definedName>
    <definedName name="VStBüroMai">'Büro'!$M$6</definedName>
    <definedName name="VStBüroMär">'Büro'!$M$4</definedName>
    <definedName name="VStBüroNov">'Büro'!$M$12</definedName>
    <definedName name="VStBüroOkt">'Büro'!$M$11</definedName>
    <definedName name="VStBüroSep">'Büro'!$M$10</definedName>
    <definedName name="VStDez">'Übersicht'!$M$38</definedName>
    <definedName name="VStEigPosApr">'EigPos'!$M$5</definedName>
    <definedName name="VStEigPosAug">'EigPos'!$M$9</definedName>
    <definedName name="VStEigPosDez">'EigPos'!$M$13</definedName>
    <definedName name="VStEigPosFeb">'EigPos'!$M$3</definedName>
    <definedName name="VStEigPosJan">'EigPos'!$M$2</definedName>
    <definedName name="VStEigPosJul">'EigPos'!$M$8</definedName>
    <definedName name="VStEigPosJun">'EigPos'!$M$7</definedName>
    <definedName name="VStEigPosMai">'EigPos'!$M$6</definedName>
    <definedName name="VStEigPosMär">'EigPos'!$M$4</definedName>
    <definedName name="VStEigPosNov">'EigPos'!$M$12</definedName>
    <definedName name="VStEigPosOkt">'EigPos'!$M$11</definedName>
    <definedName name="VStEigPosSep">'EigPos'!$M$10</definedName>
    <definedName name="VStFeb">'Übersicht'!$C$38</definedName>
    <definedName name="VStJan">'Übersicht'!$B$38</definedName>
    <definedName name="VStJul">'Übersicht'!$H$38</definedName>
    <definedName name="VStJun">'Übersicht'!$G$38</definedName>
    <definedName name="VStLitApr">'Lit'!$M$5</definedName>
    <definedName name="VStLitAug">'Lit'!$M$9</definedName>
    <definedName name="VStLitDez">'Lit'!$M$13</definedName>
    <definedName name="VStLitFeb">'Lit'!$M$3</definedName>
    <definedName name="VStLitJan">'Lit'!$M$2</definedName>
    <definedName name="VStLitJul">'Lit'!$M$8</definedName>
    <definedName name="VStLitJun">'Lit'!$M$7</definedName>
    <definedName name="VStLitMai">'Lit'!$M$6</definedName>
    <definedName name="VStLitMär">'Lit'!$M$4</definedName>
    <definedName name="VStLitNov">'Lit'!$M$12</definedName>
    <definedName name="VStLitOkt">'Lit'!$M$11</definedName>
    <definedName name="VStLitSep">'Lit'!$M$10</definedName>
    <definedName name="VStMai">'Übersicht'!$F$38</definedName>
    <definedName name="VStMär">'Übersicht'!$D$38</definedName>
    <definedName name="VStMWApr">'MW'!$M$5</definedName>
    <definedName name="VStMWAug">'MW'!$M$9</definedName>
    <definedName name="VStMWDez">'MW'!$M$13</definedName>
    <definedName name="VStMWFeb">'MW'!$M$3</definedName>
    <definedName name="VStMWJan">'MW'!$M$2</definedName>
    <definedName name="VStMWJul">'MW'!$M$8</definedName>
    <definedName name="VStMWJun">'MW'!$M$7</definedName>
    <definedName name="VStMWMai">'MW'!$M$6</definedName>
    <definedName name="VStMWMär">'MW'!$M$4</definedName>
    <definedName name="VStMWNov">'MW'!$M$12</definedName>
    <definedName name="VStMWOkt">'MW'!$M$11</definedName>
    <definedName name="VStMWSep">'MW'!$M$10</definedName>
    <definedName name="VStNov">'Übersicht'!$L$38</definedName>
    <definedName name="VStOkt">'Übersicht'!$K$38</definedName>
    <definedName name="VStPKWApr">'PKW'!$M$5</definedName>
    <definedName name="VStPKWAug">'PKW'!$M$9</definedName>
    <definedName name="VStPKWDez">'PKW'!$M$13</definedName>
    <definedName name="VStPKWFeb">'PKW'!$M$3</definedName>
    <definedName name="VStPKWJan">'PKW'!$M$2</definedName>
    <definedName name="VStPKWJul">'PKW'!$M$8</definedName>
    <definedName name="VStPKWJun">'PKW'!$M$7</definedName>
    <definedName name="VStPKWMai">'PKW'!$M$6</definedName>
    <definedName name="VStPKWMär">'PKW'!$M$4</definedName>
    <definedName name="VStPKWNov">'PKW'!$M$12</definedName>
    <definedName name="VStPKWOkt">'PKW'!$M$11</definedName>
    <definedName name="VStPKWSep">'PKW'!$M$10</definedName>
    <definedName name="VStPortoApr">'Porto'!$M$5</definedName>
    <definedName name="VStPortoAug">'Porto'!$M$9</definedName>
    <definedName name="VStPortoDez">'Porto'!$M$13</definedName>
    <definedName name="VStPortoFeb">'Porto'!$M$3</definedName>
    <definedName name="VStPortoJan">'Porto'!$M$2</definedName>
    <definedName name="VStPortoJul">'Porto'!$M$8</definedName>
    <definedName name="VStPortoJun">'Porto'!$M$7</definedName>
    <definedName name="VStPortoMai">'Porto'!$M$6</definedName>
    <definedName name="VStPortoMär">'Porto'!$M$4</definedName>
    <definedName name="VStPortoNov">'Porto'!$M$12</definedName>
    <definedName name="VStPortoOkt">'Porto'!$M$11</definedName>
    <definedName name="VStPortoSep">'Porto'!$M$10</definedName>
    <definedName name="VStReiseApr">'Reise'!$N$5</definedName>
    <definedName name="VStReiseAug">'Reise'!$N$9</definedName>
    <definedName name="VStReiseDez">'Reise'!$N$13</definedName>
    <definedName name="VStReiseFeb">'Reise'!$N$3</definedName>
    <definedName name="VStReiseJan">'Reise'!$N$2</definedName>
    <definedName name="VStReiseJul">'Reise'!$N$8</definedName>
    <definedName name="VStReiseJun">'Reise'!$N$7</definedName>
    <definedName name="VStReiseMai">'Reise'!$N$6</definedName>
    <definedName name="VStReiseMär">'Reise'!$N$4</definedName>
    <definedName name="VStReiseNov">'Reise'!$N$12</definedName>
    <definedName name="VStReiseOkt">'Reise'!$N$11</definedName>
    <definedName name="VStReiseSep">'Reise'!$N$10</definedName>
    <definedName name="VStSep">'Übersicht'!$J$38</definedName>
    <definedName name="VStSonstApr">'Sonst'!$M$5</definedName>
    <definedName name="VStSonstAug">'Sonst'!$M$9</definedName>
    <definedName name="VStSonstDez">'Sonst'!$M$13</definedName>
    <definedName name="VStSonstFeb">'Sonst'!$M$3</definedName>
    <definedName name="VStSonstJan">'Sonst'!$M$2</definedName>
    <definedName name="VStSonstJul">'Sonst'!$M$8</definedName>
    <definedName name="VStSonstJun">'Sonst'!$M$7</definedName>
    <definedName name="VStSonstMai">'Sonst'!$M$6</definedName>
    <definedName name="VStSonstMär">'Sonst'!$M$4</definedName>
    <definedName name="VStSonstNov">'Sonst'!$M$12</definedName>
    <definedName name="VStSonstOkt">'Sonst'!$M$11</definedName>
    <definedName name="VStSonstSep">'Sonst'!$M$10</definedName>
    <definedName name="VStTKApr">'TK'!$M$5</definedName>
    <definedName name="VStTKAug">'TK'!$M$9</definedName>
    <definedName name="VStTKDez">'TK'!$M$13</definedName>
    <definedName name="VStTKFeb">'TK'!$M$3</definedName>
    <definedName name="VStTKJan">'TK'!$M$2</definedName>
    <definedName name="VStTKJul">'TK'!$M$8</definedName>
    <definedName name="VStTKJun">'TK'!$M$7</definedName>
    <definedName name="VStTKMai">'TK'!$M$6</definedName>
    <definedName name="VStTKMär">'TK'!$M$4</definedName>
    <definedName name="VStTKNov">'TK'!$M$12</definedName>
    <definedName name="VStTKOkt">'TK'!$M$11</definedName>
    <definedName name="VStTKSep">'TK'!$M$10</definedName>
  </definedNames>
  <calcPr fullCalcOnLoad="1"/>
</workbook>
</file>

<file path=xl/comments12.xml><?xml version="1.0" encoding="utf-8"?>
<comments xmlns="http://schemas.openxmlformats.org/spreadsheetml/2006/main">
  <authors>
    <author>Thomas Wiegand</author>
  </authors>
  <commentList>
    <comment ref="C2" authorId="0">
      <text>
        <r>
          <rPr>
            <b/>
            <sz val="9"/>
            <rFont val="Tahoma"/>
            <family val="0"/>
          </rPr>
          <t>Thomas Wiegand:</t>
        </r>
        <r>
          <rPr>
            <sz val="9"/>
            <rFont val="Tahoma"/>
            <family val="0"/>
          </rPr>
          <t xml:space="preserve">
Noch ausfüllen!</t>
        </r>
      </text>
    </comment>
  </commentList>
</comments>
</file>

<file path=xl/comments15.xml><?xml version="1.0" encoding="utf-8"?>
<comments xmlns="http://schemas.openxmlformats.org/spreadsheetml/2006/main">
  <authors>
    <author>Thomas Wiegand</author>
  </authors>
  <commentList>
    <comment ref="A34" authorId="0">
      <text>
        <r>
          <rPr>
            <b/>
            <sz val="9"/>
            <rFont val="Tahoma"/>
            <family val="0"/>
          </rPr>
          <t>Thomas Wiegand:</t>
        </r>
        <r>
          <rPr>
            <sz val="9"/>
            <rFont val="Tahoma"/>
            <family val="0"/>
          </rPr>
          <t xml:space="preserve">
Ist nicht grün, weil im Auto!</t>
        </r>
      </text>
    </comment>
  </commentList>
</comments>
</file>

<file path=xl/sharedStrings.xml><?xml version="1.0" encoding="utf-8"?>
<sst xmlns="http://schemas.openxmlformats.org/spreadsheetml/2006/main" count="205" uniqueCount="33">
  <si>
    <t>Position</t>
  </si>
  <si>
    <t>VSt-Betrag</t>
  </si>
  <si>
    <t>MwSt-Satz</t>
  </si>
  <si>
    <t>Steuerjahr:</t>
  </si>
  <si>
    <t>Monat</t>
  </si>
  <si>
    <t>Material/Waren</t>
  </si>
  <si>
    <t>Arbeitszimmer</t>
  </si>
  <si>
    <t>Bankkosten</t>
  </si>
  <si>
    <t>Reisekosten</t>
  </si>
  <si>
    <t>Bewirtung</t>
  </si>
  <si>
    <t>Porto</t>
  </si>
  <si>
    <t>Telekommunikation</t>
  </si>
  <si>
    <t>Bürobedarf</t>
  </si>
  <si>
    <t>Fachliteratur</t>
  </si>
  <si>
    <t>Eigene Positionen</t>
  </si>
  <si>
    <t>Rech-Datum</t>
  </si>
  <si>
    <t>Details</t>
  </si>
  <si>
    <t>Brutto</t>
  </si>
  <si>
    <t>VSt-relevant?</t>
  </si>
  <si>
    <t>Kostenmonat</t>
  </si>
  <si>
    <t>Kosten Gesamt</t>
  </si>
  <si>
    <t>Vorsteuer</t>
  </si>
  <si>
    <t>Netto</t>
  </si>
  <si>
    <t>Projekt</t>
  </si>
  <si>
    <t>PKW</t>
  </si>
  <si>
    <t>Gesamtkosten</t>
  </si>
  <si>
    <t>AM ohne Afa</t>
  </si>
  <si>
    <t>AM mit Afa</t>
  </si>
  <si>
    <t>Sonstiges</t>
  </si>
  <si>
    <t>Vorsteuern</t>
  </si>
  <si>
    <t>Summe</t>
  </si>
  <si>
    <t>Nutzungsdauer</t>
  </si>
  <si>
    <t>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</si>
</sst>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;@"/>
    <numFmt numFmtId="166" formatCode="#,##0.00\ &quot;€&quot;"/>
    <numFmt numFmtId="167" formatCode="[$-407]mmmm\ yy;@"/>
    <numFmt numFmtId="168" formatCode="dd/mm/yy;@"/>
    <numFmt numFmtId="169" formatCode="yyyy"/>
    <numFmt numFmtId="170" formatCode="[$-407]mmmmm;@"/>
    <numFmt numFmtId="171" formatCode="[$-407]mmm/\ yy;@"/>
    <numFmt numFmtId="172" formatCode="#,##0\ &quot;€&quot;"/>
    <numFmt numFmtId="173" formatCode="mmm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/>
    </xf>
    <xf numFmtId="9" fontId="0" fillId="0" borderId="0" xfId="0" applyNumberFormat="1" applyAlignment="1">
      <alignment horizontal="center"/>
    </xf>
    <xf numFmtId="168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171" fontId="6" fillId="0" borderId="3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1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171" fontId="6" fillId="0" borderId="4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71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" fontId="1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/>
  <dimension ref="A1:N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140625" style="0" bestFit="1" customWidth="1"/>
    <col min="2" max="2" width="11.00390625" style="0" customWidth="1"/>
  </cols>
  <sheetData>
    <row r="1" ht="15.75">
      <c r="A1" s="5" t="s">
        <v>3</v>
      </c>
    </row>
    <row r="2" ht="15.75">
      <c r="A2" s="6">
        <v>2010</v>
      </c>
    </row>
    <row r="3" spans="1:13" ht="13.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s="32" customFormat="1" ht="13.5" thickBot="1">
      <c r="A4" s="31" t="s">
        <v>25</v>
      </c>
      <c r="B4" s="34">
        <f>DATE(SteuerJahr,1,1)</f>
        <v>40179</v>
      </c>
      <c r="C4" s="34">
        <f>DATE(SteuerJahr,2,1)</f>
        <v>40210</v>
      </c>
      <c r="D4" s="34">
        <f>DATE(SteuerJahr,3,1)</f>
        <v>40238</v>
      </c>
      <c r="E4" s="34">
        <f>DATE(SteuerJahr,4,1)</f>
        <v>40269</v>
      </c>
      <c r="F4" s="34">
        <f>DATE(SteuerJahr,5,1)</f>
        <v>40299</v>
      </c>
      <c r="G4" s="34">
        <f>DATE(SteuerJahr,6,1)</f>
        <v>40330</v>
      </c>
      <c r="H4" s="34">
        <f>DATE(SteuerJahr,7,1)</f>
        <v>40360</v>
      </c>
      <c r="I4" s="34">
        <f>DATE(SteuerJahr,8,1)</f>
        <v>40391</v>
      </c>
      <c r="J4" s="34">
        <f>DATE(SteuerJahr,9,1)</f>
        <v>40422</v>
      </c>
      <c r="K4" s="34">
        <f>DATE(SteuerJahr,10,1)</f>
        <v>40452</v>
      </c>
      <c r="L4" s="34">
        <f>DATE(SteuerJahr,11,1)</f>
        <v>40483</v>
      </c>
      <c r="M4" s="38">
        <f>DATE(SteuerJahr,12,1)</f>
        <v>40513</v>
      </c>
      <c r="N4" s="42" t="s">
        <v>30</v>
      </c>
    </row>
    <row r="5" spans="1:14" ht="12.75">
      <c r="A5" t="s">
        <v>12</v>
      </c>
      <c r="B5" s="35">
        <f>KostenBüroJan</f>
        <v>0</v>
      </c>
      <c r="C5" s="35">
        <f>KostenBüroFeb</f>
        <v>0</v>
      </c>
      <c r="D5" s="35">
        <f>KostenBüroMär</f>
        <v>0</v>
      </c>
      <c r="E5" s="35">
        <f>KostenBüroApr</f>
        <v>0</v>
      </c>
      <c r="F5" s="35">
        <f>KostenBüroMai</f>
        <v>0</v>
      </c>
      <c r="G5" s="35">
        <f>KostenBüroJun</f>
        <v>0</v>
      </c>
      <c r="H5" s="35">
        <f>KostenBüroJul</f>
        <v>0</v>
      </c>
      <c r="I5" s="35">
        <f>KostenBüroAug</f>
        <v>0</v>
      </c>
      <c r="J5" s="35">
        <f>KostenBüroSep</f>
        <v>0</v>
      </c>
      <c r="K5" s="35">
        <f>KostenBüroOkt</f>
        <v>0</v>
      </c>
      <c r="L5" s="35">
        <f>KostenBüroNov</f>
        <v>0</v>
      </c>
      <c r="M5" s="39">
        <f>KostenBüroDez</f>
        <v>0</v>
      </c>
      <c r="N5" s="43">
        <f>SUM(B5:M5)</f>
        <v>0</v>
      </c>
    </row>
    <row r="6" spans="1:14" ht="12.75">
      <c r="A6" t="s">
        <v>26</v>
      </c>
      <c r="B6" s="35">
        <f>KostenAMohneAfAJan</f>
        <v>0</v>
      </c>
      <c r="C6" s="35">
        <f>KostenAMohneAfAFeb</f>
        <v>0</v>
      </c>
      <c r="D6" s="35">
        <f>KostenAMohneAfAMär</f>
        <v>0</v>
      </c>
      <c r="E6" s="35">
        <f>KostenAMohneAfAApr</f>
        <v>0</v>
      </c>
      <c r="F6" s="35">
        <f>KostenAMohneAfAMai</f>
        <v>0</v>
      </c>
      <c r="G6" s="35">
        <f>KostenAMohneAfAJun</f>
        <v>0</v>
      </c>
      <c r="H6" s="35">
        <f>KostenAMohneAfAJul</f>
        <v>0</v>
      </c>
      <c r="I6" s="35">
        <f>KostenAMohneAfAAug</f>
        <v>0</v>
      </c>
      <c r="J6" s="35">
        <f>KostenAMohneAfASep</f>
        <v>0</v>
      </c>
      <c r="K6" s="35">
        <f>KostenAMohneAfAOkt</f>
        <v>0</v>
      </c>
      <c r="L6" s="35">
        <f>KostenAMohneAfANov</f>
        <v>0</v>
      </c>
      <c r="M6" s="39">
        <f>KostenAMohneAfADez</f>
        <v>0</v>
      </c>
      <c r="N6" s="43">
        <f aca="true" t="shared" si="0" ref="N6:N38">SUM(B6:M6)</f>
        <v>0</v>
      </c>
    </row>
    <row r="7" spans="1:14" ht="12.75">
      <c r="A7" t="s">
        <v>27</v>
      </c>
      <c r="B7" s="35">
        <f>KostenAMmitAfAJan</f>
        <v>0</v>
      </c>
      <c r="C7" s="35">
        <f>KostenAMmitAfAFeb</f>
        <v>0</v>
      </c>
      <c r="D7" s="35">
        <f>KostenAMmitAfAMär</f>
        <v>0</v>
      </c>
      <c r="E7" s="35">
        <f>KostenAMmitAfAApr</f>
        <v>0</v>
      </c>
      <c r="F7" s="35">
        <f>KostenAMmitAfAMai</f>
        <v>0</v>
      </c>
      <c r="G7" s="35">
        <f>KostenAMmitAfAJun</f>
        <v>0</v>
      </c>
      <c r="H7" s="35">
        <f>KostenAMmitAfAJul</f>
        <v>0</v>
      </c>
      <c r="I7" s="35">
        <f>KostenAMmitAfAAug</f>
        <v>0</v>
      </c>
      <c r="J7" s="35">
        <f>KostenAMmitAfASep</f>
        <v>0</v>
      </c>
      <c r="K7" s="35">
        <f>KostenAMmitAfAOkt</f>
        <v>0</v>
      </c>
      <c r="L7" s="35">
        <f>KostenAMmitAfANov</f>
        <v>0</v>
      </c>
      <c r="M7" s="39">
        <f>KostenAMmitAfADez</f>
        <v>0</v>
      </c>
      <c r="N7" s="43">
        <f t="shared" si="0"/>
        <v>0</v>
      </c>
    </row>
    <row r="8" spans="1:14" ht="12.75">
      <c r="A8" t="s">
        <v>11</v>
      </c>
      <c r="B8" s="35">
        <f>KostenTKJan</f>
        <v>0</v>
      </c>
      <c r="C8" s="35">
        <f>KostenTKFeb</f>
        <v>0</v>
      </c>
      <c r="D8" s="35">
        <f>KostenTKMär</f>
        <v>0</v>
      </c>
      <c r="E8" s="35">
        <f>KostenTKApr</f>
        <v>0</v>
      </c>
      <c r="F8" s="35">
        <f>KostenTKMai</f>
        <v>0</v>
      </c>
      <c r="G8" s="35">
        <f>KostenTKJun</f>
        <v>0</v>
      </c>
      <c r="H8" s="35">
        <f>KostenTKJul</f>
        <v>0</v>
      </c>
      <c r="I8" s="35">
        <f>KostenTKAug</f>
        <v>0</v>
      </c>
      <c r="J8" s="35">
        <f>KostenTKSep</f>
        <v>0</v>
      </c>
      <c r="K8" s="35">
        <f>KostenTKOkt</f>
        <v>0</v>
      </c>
      <c r="L8" s="35">
        <f>KostenTKNov</f>
        <v>0</v>
      </c>
      <c r="M8" s="39">
        <f>KostenTKDez</f>
        <v>0</v>
      </c>
      <c r="N8" s="43">
        <f t="shared" si="0"/>
        <v>0</v>
      </c>
    </row>
    <row r="9" spans="1:14" ht="12.75">
      <c r="A9" t="s">
        <v>14</v>
      </c>
      <c r="B9" s="35">
        <f>KostenEigPosJan</f>
        <v>0</v>
      </c>
      <c r="C9" s="35">
        <f>KostenEigPosFeb</f>
        <v>0</v>
      </c>
      <c r="D9" s="35">
        <f>KostenEigPosMär</f>
        <v>0</v>
      </c>
      <c r="E9" s="35">
        <f>KostenEigPosApr</f>
        <v>0</v>
      </c>
      <c r="F9" s="35">
        <f>KostenEigPosMai</f>
        <v>0</v>
      </c>
      <c r="G9" s="35">
        <f>KostenEigPosJun</f>
        <v>0</v>
      </c>
      <c r="H9" s="35">
        <f>KostenEigPosJul</f>
        <v>0</v>
      </c>
      <c r="I9" s="35">
        <f>KostenEigPosAug</f>
        <v>0</v>
      </c>
      <c r="J9" s="35">
        <f>KostenEigPosSep</f>
        <v>0</v>
      </c>
      <c r="K9" s="35">
        <f>KostenEigPosOkt</f>
        <v>0</v>
      </c>
      <c r="L9" s="35">
        <f>KostenEigPosNov</f>
        <v>0</v>
      </c>
      <c r="M9" s="39">
        <f>KostenEigPosDez</f>
        <v>0</v>
      </c>
      <c r="N9" s="43">
        <f t="shared" si="0"/>
        <v>0</v>
      </c>
    </row>
    <row r="10" spans="1:14" ht="12.75">
      <c r="A10" t="s">
        <v>8</v>
      </c>
      <c r="B10" s="35">
        <f>KostenReiseJan</f>
        <v>0</v>
      </c>
      <c r="C10" s="35">
        <f>KostenReiseFeb</f>
        <v>0</v>
      </c>
      <c r="D10" s="35">
        <f>KostenReiseMär</f>
        <v>0</v>
      </c>
      <c r="E10" s="35">
        <f>KostenReiseApr</f>
        <v>0</v>
      </c>
      <c r="F10" s="35">
        <f>KostenReiseMai</f>
        <v>0</v>
      </c>
      <c r="G10" s="35">
        <f>KostenReiseJun</f>
        <v>0</v>
      </c>
      <c r="H10" s="35">
        <f>KostenReiseJul</f>
        <v>0</v>
      </c>
      <c r="I10" s="35">
        <f>KostenReiseAug</f>
        <v>0</v>
      </c>
      <c r="J10" s="35">
        <f>KostenReiseSep</f>
        <v>0</v>
      </c>
      <c r="K10" s="35">
        <f>KostenReiseOkt</f>
        <v>0</v>
      </c>
      <c r="L10" s="35">
        <f>KostenReiseNov</f>
        <v>0</v>
      </c>
      <c r="M10" s="39">
        <f>KostenReiseDez</f>
        <v>0</v>
      </c>
      <c r="N10" s="43">
        <f t="shared" si="0"/>
        <v>0</v>
      </c>
    </row>
    <row r="11" spans="1:14" ht="12.75">
      <c r="A11" t="s">
        <v>13</v>
      </c>
      <c r="B11" s="35">
        <f>KostenLitJan</f>
        <v>0</v>
      </c>
      <c r="C11" s="35">
        <f>KostenLitFeb</f>
        <v>0</v>
      </c>
      <c r="D11" s="35">
        <f>KostenLitMär</f>
        <v>0</v>
      </c>
      <c r="E11" s="35">
        <f>KostenLitApr</f>
        <v>0</v>
      </c>
      <c r="F11" s="35">
        <f>KostenLitMai</f>
        <v>0</v>
      </c>
      <c r="G11" s="35">
        <f>KostenLitJun</f>
        <v>0</v>
      </c>
      <c r="H11" s="35">
        <f>KostenLitJul</f>
        <v>0</v>
      </c>
      <c r="I11" s="35">
        <f>KostenLitAug</f>
        <v>0</v>
      </c>
      <c r="J11" s="35">
        <f>KostenLitSep</f>
        <v>0</v>
      </c>
      <c r="K11" s="35">
        <f>KostenLitOkt</f>
        <v>0</v>
      </c>
      <c r="L11" s="35">
        <f>KostenLitNov</f>
        <v>0</v>
      </c>
      <c r="M11" s="39">
        <f>KostenLitDez</f>
        <v>0</v>
      </c>
      <c r="N11" s="43">
        <f t="shared" si="0"/>
        <v>0</v>
      </c>
    </row>
    <row r="12" spans="1:14" ht="12.75">
      <c r="A12" t="s">
        <v>7</v>
      </c>
      <c r="B12" s="35">
        <f>KostenBankJan</f>
        <v>0</v>
      </c>
      <c r="C12" s="35">
        <f>KostenBankFeb</f>
        <v>0</v>
      </c>
      <c r="D12" s="35">
        <f>KostenBankMär</f>
        <v>0</v>
      </c>
      <c r="E12" s="35">
        <f>KostenBankApr</f>
        <v>0</v>
      </c>
      <c r="F12" s="35">
        <f>KostenBankMai</f>
        <v>0</v>
      </c>
      <c r="G12" s="35">
        <f>KostenBankJun</f>
        <v>0</v>
      </c>
      <c r="H12" s="35">
        <f>KostenBankJul</f>
        <v>0</v>
      </c>
      <c r="I12" s="35">
        <f>KostenBankAug</f>
        <v>0</v>
      </c>
      <c r="J12" s="35">
        <f>KostenBankSep</f>
        <v>0</v>
      </c>
      <c r="K12" s="35">
        <f>KostenBankOkt</f>
        <v>0</v>
      </c>
      <c r="L12" s="35">
        <f>KostenBankNov</f>
        <v>0</v>
      </c>
      <c r="M12" s="39">
        <f>KostenBankDez</f>
        <v>0</v>
      </c>
      <c r="N12" s="43">
        <f t="shared" si="0"/>
        <v>0</v>
      </c>
    </row>
    <row r="13" spans="1:14" ht="12.75">
      <c r="A13" t="s">
        <v>10</v>
      </c>
      <c r="B13" s="35">
        <f>KostenPortoJan</f>
        <v>0</v>
      </c>
      <c r="C13" s="35">
        <f>KostenPortoFeb</f>
        <v>0</v>
      </c>
      <c r="D13" s="35">
        <f>KostenPortoMär</f>
        <v>0</v>
      </c>
      <c r="E13" s="35">
        <f>KostenPortoApr</f>
        <v>0</v>
      </c>
      <c r="F13" s="35">
        <f>KostenPortoMai</f>
        <v>0</v>
      </c>
      <c r="G13" s="35">
        <f>KostenPortoJun</f>
        <v>0</v>
      </c>
      <c r="H13" s="35">
        <f>KostenPortoJul</f>
        <v>0</v>
      </c>
      <c r="I13" s="35">
        <f>KostenPortoAug</f>
        <v>0</v>
      </c>
      <c r="J13" s="35">
        <f>KostenPortoSep</f>
        <v>0</v>
      </c>
      <c r="K13" s="35">
        <f>KostenPortoOkt</f>
        <v>0</v>
      </c>
      <c r="L13" s="35">
        <f>KostenPortoNov</f>
        <v>0</v>
      </c>
      <c r="M13" s="39">
        <f>KostenPortoDez</f>
        <v>0</v>
      </c>
      <c r="N13" s="43">
        <f t="shared" si="0"/>
        <v>0</v>
      </c>
    </row>
    <row r="14" spans="1:14" ht="12.75">
      <c r="A14" t="s">
        <v>6</v>
      </c>
      <c r="B14" s="35">
        <f>KostenArbZiJan</f>
        <v>0</v>
      </c>
      <c r="C14" s="35">
        <f>KostenArbZiFeb</f>
        <v>0</v>
      </c>
      <c r="D14" s="35">
        <f>KostenArbZiMär</f>
        <v>0</v>
      </c>
      <c r="E14" s="35">
        <f>KostenArbZiApr</f>
        <v>0</v>
      </c>
      <c r="F14" s="35">
        <f>KostenArbZiMai</f>
        <v>0</v>
      </c>
      <c r="G14" s="35">
        <f>KostenArbZiJun</f>
        <v>0</v>
      </c>
      <c r="H14" s="35">
        <f>KostenArbZiJul</f>
        <v>0</v>
      </c>
      <c r="I14" s="35">
        <f>KostenArbZiAug</f>
        <v>0</v>
      </c>
      <c r="J14" s="35">
        <f>KostenArbZiSep</f>
        <v>0</v>
      </c>
      <c r="K14" s="35">
        <f>KostenArbZiOkt</f>
        <v>0</v>
      </c>
      <c r="L14" s="35">
        <f>KostenArbZiNov</f>
        <v>0</v>
      </c>
      <c r="M14" s="39">
        <f>KostenArbZiDez</f>
        <v>0</v>
      </c>
      <c r="N14" s="43">
        <f t="shared" si="0"/>
        <v>0</v>
      </c>
    </row>
    <row r="15" spans="1:14" ht="12.75">
      <c r="A15" t="s">
        <v>9</v>
      </c>
      <c r="B15" s="35">
        <f>KostenBewJan</f>
        <v>0</v>
      </c>
      <c r="C15" s="35">
        <f>KostenBewFeb</f>
        <v>0</v>
      </c>
      <c r="D15" s="35">
        <f>KostenBewMär</f>
        <v>0</v>
      </c>
      <c r="E15" s="35">
        <f>KostenBewApr</f>
        <v>0</v>
      </c>
      <c r="F15" s="35">
        <f>KostenBewMai</f>
        <v>0</v>
      </c>
      <c r="G15" s="35">
        <f>KostenBewJun</f>
        <v>0</v>
      </c>
      <c r="H15" s="35">
        <f>KostenBewJul</f>
        <v>0</v>
      </c>
      <c r="I15" s="35">
        <f>KostenBewAug</f>
        <v>0</v>
      </c>
      <c r="J15" s="35">
        <f>KostenBewSep</f>
        <v>0</v>
      </c>
      <c r="K15" s="35">
        <f>KostenBewOkt</f>
        <v>0</v>
      </c>
      <c r="L15" s="35">
        <f>KostenBewNov</f>
        <v>0</v>
      </c>
      <c r="M15" s="39">
        <f>KostenBewDez</f>
        <v>0</v>
      </c>
      <c r="N15" s="43">
        <f t="shared" si="0"/>
        <v>0</v>
      </c>
    </row>
    <row r="16" spans="1:14" ht="12.75">
      <c r="A16" t="s">
        <v>28</v>
      </c>
      <c r="B16" s="35">
        <f>KostenSonstJan</f>
        <v>0</v>
      </c>
      <c r="C16" s="35">
        <f>KostenSonstFeb</f>
        <v>0</v>
      </c>
      <c r="D16" s="35">
        <f>KostenSonstMär</f>
        <v>0</v>
      </c>
      <c r="E16" s="35">
        <f>KostenSonstApr</f>
        <v>0</v>
      </c>
      <c r="F16" s="35">
        <f>KostenSonstMai</f>
        <v>0</v>
      </c>
      <c r="G16" s="35">
        <f>KostenSonstJun</f>
        <v>0</v>
      </c>
      <c r="H16" s="35">
        <f>KostenSonstJul</f>
        <v>0</v>
      </c>
      <c r="I16" s="35">
        <f>KostenSonstAug</f>
        <v>0</v>
      </c>
      <c r="J16" s="35">
        <f>KostenSonstSep</f>
        <v>0</v>
      </c>
      <c r="K16" s="35">
        <f>KostenSonstOkt</f>
        <v>0</v>
      </c>
      <c r="L16" s="35">
        <f>KostenSonstNov</f>
        <v>0</v>
      </c>
      <c r="M16" s="39">
        <f>KostenSonstDez</f>
        <v>0</v>
      </c>
      <c r="N16" s="43">
        <f t="shared" si="0"/>
        <v>0</v>
      </c>
    </row>
    <row r="17" spans="1:14" ht="12.75">
      <c r="A17" t="s">
        <v>5</v>
      </c>
      <c r="B17" s="35">
        <f>KostenMWJan</f>
        <v>0</v>
      </c>
      <c r="C17" s="35">
        <f>KostenMWFeb</f>
        <v>0</v>
      </c>
      <c r="D17" s="35">
        <f>KostenMWMär</f>
        <v>0</v>
      </c>
      <c r="E17" s="35">
        <f>KostenMWApr</f>
        <v>0</v>
      </c>
      <c r="F17" s="35">
        <f>KostenMWMai</f>
        <v>0</v>
      </c>
      <c r="G17" s="35">
        <f>KostenMWJun</f>
        <v>0</v>
      </c>
      <c r="H17" s="35">
        <f>KostenMWJul</f>
        <v>0</v>
      </c>
      <c r="I17" s="35">
        <f>KostenMWAug</f>
        <v>0</v>
      </c>
      <c r="J17" s="35">
        <f>KostenMWSep</f>
        <v>0</v>
      </c>
      <c r="K17" s="35">
        <f>KostenMWOkt</f>
        <v>0</v>
      </c>
      <c r="L17" s="35">
        <f>KostenMWNov</f>
        <v>0</v>
      </c>
      <c r="M17" s="39">
        <f>KostenMWDez</f>
        <v>0</v>
      </c>
      <c r="N17" s="43">
        <f t="shared" si="0"/>
        <v>0</v>
      </c>
    </row>
    <row r="18" spans="1:14" ht="12.75">
      <c r="A18" t="s">
        <v>24</v>
      </c>
      <c r="B18" s="35">
        <f>KostenPKWJan</f>
        <v>0</v>
      </c>
      <c r="C18" s="35">
        <f>KostenPKWFeb</f>
        <v>0</v>
      </c>
      <c r="D18" s="35">
        <f>KostenPKWMär</f>
        <v>0</v>
      </c>
      <c r="E18" s="35">
        <f>KostenPKWApr</f>
        <v>0</v>
      </c>
      <c r="F18" s="35">
        <f>KostenPKWMai</f>
        <v>0</v>
      </c>
      <c r="G18" s="35">
        <f>KostenPKWJun</f>
        <v>0</v>
      </c>
      <c r="H18" s="35">
        <f>KostenPKWJul</f>
        <v>0</v>
      </c>
      <c r="I18" s="35">
        <f>KostenPKWAug</f>
        <v>0</v>
      </c>
      <c r="J18" s="35">
        <f>KostenPKWSep</f>
        <v>0</v>
      </c>
      <c r="K18" s="35">
        <f>KostenPKWOkt</f>
        <v>0</v>
      </c>
      <c r="L18" s="35">
        <f>KostenPKWNov</f>
        <v>0</v>
      </c>
      <c r="M18" s="39">
        <f>KostenPKWDez</f>
        <v>0</v>
      </c>
      <c r="N18" s="43">
        <f t="shared" si="0"/>
        <v>0</v>
      </c>
    </row>
    <row r="19" spans="1:14" ht="13.5" thickBot="1">
      <c r="A19" s="2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0"/>
      <c r="N19" s="43"/>
    </row>
    <row r="20" spans="1:14" s="1" customFormat="1" ht="13.5" thickBot="1">
      <c r="A20" s="31" t="s">
        <v>30</v>
      </c>
      <c r="B20" s="37">
        <f>SUM(B5:B19)</f>
        <v>0</v>
      </c>
      <c r="C20" s="37">
        <f aca="true" t="shared" si="1" ref="C20:M20">SUM(C5:C19)</f>
        <v>0</v>
      </c>
      <c r="D20" s="37">
        <f t="shared" si="1"/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41">
        <f t="shared" si="1"/>
        <v>0</v>
      </c>
      <c r="N20" s="43">
        <f t="shared" si="0"/>
        <v>0</v>
      </c>
    </row>
    <row r="21" spans="1:14" ht="13.5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3"/>
    </row>
    <row r="22" spans="1:14" s="1" customFormat="1" ht="13.5" thickBot="1">
      <c r="A22" s="31" t="s">
        <v>29</v>
      </c>
      <c r="B22" s="34">
        <f>DATE(SteuerJahr,1,1)</f>
        <v>40179</v>
      </c>
      <c r="C22" s="34">
        <f>DATE(SteuerJahr,2,1)</f>
        <v>40210</v>
      </c>
      <c r="D22" s="34">
        <f>DATE(SteuerJahr,3,1)</f>
        <v>40238</v>
      </c>
      <c r="E22" s="34">
        <f>DATE(SteuerJahr,4,1)</f>
        <v>40269</v>
      </c>
      <c r="F22" s="34">
        <f>DATE(SteuerJahr,5,1)</f>
        <v>40299</v>
      </c>
      <c r="G22" s="34">
        <f>DATE(SteuerJahr,6,1)</f>
        <v>40330</v>
      </c>
      <c r="H22" s="34">
        <f>DATE(SteuerJahr,7,1)</f>
        <v>40360</v>
      </c>
      <c r="I22" s="34">
        <f>DATE(SteuerJahr,8,1)</f>
        <v>40391</v>
      </c>
      <c r="J22" s="34">
        <f>DATE(SteuerJahr,9,1)</f>
        <v>40422</v>
      </c>
      <c r="K22" s="34">
        <f>DATE(SteuerJahr,10,1)</f>
        <v>40452</v>
      </c>
      <c r="L22" s="34">
        <f>DATE(SteuerJahr,11,1)</f>
        <v>40483</v>
      </c>
      <c r="M22" s="38">
        <f>DATE(SteuerJahr,12,1)</f>
        <v>40513</v>
      </c>
      <c r="N22" s="43"/>
    </row>
    <row r="23" spans="1:14" ht="12.75">
      <c r="A23" t="s">
        <v>12</v>
      </c>
      <c r="B23" s="35">
        <f>VStBüroJan</f>
        <v>0</v>
      </c>
      <c r="C23" s="35">
        <f>VStBüroFeb</f>
        <v>0</v>
      </c>
      <c r="D23" s="35">
        <f>VStBüroMär</f>
        <v>0</v>
      </c>
      <c r="E23" s="35">
        <f>VStBüroApr</f>
        <v>0</v>
      </c>
      <c r="F23" s="35">
        <f>VStBüroMai</f>
        <v>0</v>
      </c>
      <c r="G23" s="35">
        <f>VStBüroJun</f>
        <v>0</v>
      </c>
      <c r="H23" s="35">
        <f>VStBüroJul</f>
        <v>0</v>
      </c>
      <c r="I23" s="35">
        <f>VStBüroAug</f>
        <v>0</v>
      </c>
      <c r="J23" s="35">
        <f>VStBüroSep</f>
        <v>0</v>
      </c>
      <c r="K23" s="35">
        <f>VStBüroOkt</f>
        <v>0</v>
      </c>
      <c r="L23" s="35">
        <f>VStBüroNov</f>
        <v>0</v>
      </c>
      <c r="M23" s="39">
        <f>VStBüroDez</f>
        <v>0</v>
      </c>
      <c r="N23" s="43">
        <f t="shared" si="0"/>
        <v>0</v>
      </c>
    </row>
    <row r="24" spans="1:14" ht="12.75">
      <c r="A24" t="s">
        <v>26</v>
      </c>
      <c r="B24" s="35">
        <f>VStAMohneAfAJan</f>
        <v>0</v>
      </c>
      <c r="C24" s="35">
        <f>VStAMohneAfAFeb</f>
        <v>0</v>
      </c>
      <c r="D24" s="35">
        <f>VStAMohneAfAMär</f>
        <v>0</v>
      </c>
      <c r="E24" s="35">
        <f>VStAMohneAfAApr</f>
        <v>0</v>
      </c>
      <c r="F24" s="35">
        <f>VStAMohneAfAMai</f>
        <v>0</v>
      </c>
      <c r="G24" s="35">
        <f>VStAMohneAfAJun</f>
        <v>0</v>
      </c>
      <c r="H24" s="35">
        <f>VStAMohneAfAJul</f>
        <v>0</v>
      </c>
      <c r="I24" s="35">
        <f>VStAMohneAfAAug</f>
        <v>0</v>
      </c>
      <c r="J24" s="35">
        <f>VStAMohneAfASep</f>
        <v>0</v>
      </c>
      <c r="K24" s="35">
        <f>VStAMohneAfAOkt</f>
        <v>0</v>
      </c>
      <c r="L24" s="35">
        <f>VStAMohneAfANov</f>
        <v>0</v>
      </c>
      <c r="M24" s="39">
        <f>VStAMohneAfADez</f>
        <v>0</v>
      </c>
      <c r="N24" s="43">
        <f t="shared" si="0"/>
        <v>0</v>
      </c>
    </row>
    <row r="25" spans="1:14" ht="12.75">
      <c r="A25" t="s">
        <v>27</v>
      </c>
      <c r="B25" s="35">
        <f>VStAMmitAfAJan</f>
        <v>0</v>
      </c>
      <c r="C25" s="35">
        <f>VStAMmitAfAFeb</f>
        <v>0</v>
      </c>
      <c r="D25" s="35">
        <f>VStAMmitAfAMär</f>
        <v>0</v>
      </c>
      <c r="E25" s="35">
        <f>VStAMmitAfAApr</f>
        <v>0</v>
      </c>
      <c r="F25" s="35">
        <f>VStAMmitAfAMai</f>
        <v>0</v>
      </c>
      <c r="G25" s="35">
        <f>VStAMmitAfAJun</f>
        <v>0</v>
      </c>
      <c r="H25" s="35">
        <f>VStAMmitAfAJul</f>
        <v>0</v>
      </c>
      <c r="I25" s="35">
        <f>VStAMmitAfAAug</f>
        <v>0</v>
      </c>
      <c r="J25" s="35">
        <f>VStAMmitAfASep</f>
        <v>0</v>
      </c>
      <c r="K25" s="35">
        <f>VStAMmitAfAOkt</f>
        <v>0</v>
      </c>
      <c r="L25" s="35">
        <f>VStAMmitAfANov</f>
        <v>0</v>
      </c>
      <c r="M25" s="39">
        <f>VStAMmitAfADez</f>
        <v>0</v>
      </c>
      <c r="N25" s="43">
        <f t="shared" si="0"/>
        <v>0</v>
      </c>
    </row>
    <row r="26" spans="1:14" ht="12.75">
      <c r="A26" t="s">
        <v>11</v>
      </c>
      <c r="B26" s="35">
        <f>VStTKJan</f>
        <v>0</v>
      </c>
      <c r="C26" s="35">
        <f>VStTKFeb</f>
        <v>0</v>
      </c>
      <c r="D26" s="35">
        <f>VStTKMär</f>
        <v>0</v>
      </c>
      <c r="E26" s="35">
        <f>VStTKApr</f>
        <v>0</v>
      </c>
      <c r="F26" s="35">
        <f>VStTKMai</f>
        <v>0</v>
      </c>
      <c r="G26" s="35">
        <f>VStTKJun</f>
        <v>0</v>
      </c>
      <c r="H26" s="35">
        <f>VStTKJul</f>
        <v>0</v>
      </c>
      <c r="I26" s="35">
        <f>VStTKAug</f>
        <v>0</v>
      </c>
      <c r="J26" s="35">
        <f>VStTKSep</f>
        <v>0</v>
      </c>
      <c r="K26" s="35">
        <f>VStTKOkt</f>
        <v>0</v>
      </c>
      <c r="L26" s="35">
        <f>VStTKNov</f>
        <v>0</v>
      </c>
      <c r="M26" s="39">
        <f>VStTKDez</f>
        <v>0</v>
      </c>
      <c r="N26" s="43">
        <f t="shared" si="0"/>
        <v>0</v>
      </c>
    </row>
    <row r="27" spans="1:14" ht="12.75">
      <c r="A27" t="s">
        <v>14</v>
      </c>
      <c r="B27" s="35">
        <f>VStEigPosJan</f>
        <v>0</v>
      </c>
      <c r="C27" s="35">
        <f>VStEigPosFeb</f>
        <v>0</v>
      </c>
      <c r="D27" s="35">
        <f>VStEigPosMär</f>
        <v>0</v>
      </c>
      <c r="E27" s="35">
        <f>VStEigPosApr</f>
        <v>0</v>
      </c>
      <c r="F27" s="35">
        <f>VStEigPosMai</f>
        <v>0</v>
      </c>
      <c r="G27" s="35">
        <f>VStEigPosJun</f>
        <v>0</v>
      </c>
      <c r="H27" s="35">
        <f>VStEigPosJul</f>
        <v>0</v>
      </c>
      <c r="I27" s="35">
        <f>VStEigPosAug</f>
        <v>0</v>
      </c>
      <c r="J27" s="35">
        <f>VStEigPosSep</f>
        <v>0</v>
      </c>
      <c r="K27" s="35">
        <f>VStEigPosOkt</f>
        <v>0</v>
      </c>
      <c r="L27" s="35">
        <f>VStEigPosNov</f>
        <v>0</v>
      </c>
      <c r="M27" s="39">
        <f>VStEigPosDez</f>
        <v>0</v>
      </c>
      <c r="N27" s="43">
        <f t="shared" si="0"/>
        <v>0</v>
      </c>
    </row>
    <row r="28" spans="1:14" ht="12.75">
      <c r="A28" t="s">
        <v>8</v>
      </c>
      <c r="B28" s="35">
        <f>VStReiseJan</f>
        <v>0</v>
      </c>
      <c r="C28" s="35">
        <f>VStReiseFeb</f>
        <v>0</v>
      </c>
      <c r="D28" s="35">
        <f>VStReiseMär</f>
        <v>0</v>
      </c>
      <c r="E28" s="35">
        <f>VStReiseApr</f>
        <v>0</v>
      </c>
      <c r="F28" s="35">
        <f>VStReiseMai</f>
        <v>0</v>
      </c>
      <c r="G28" s="35">
        <f>VStReiseJun</f>
        <v>0</v>
      </c>
      <c r="H28" s="35">
        <f>VStReiseJul</f>
        <v>0</v>
      </c>
      <c r="I28" s="35">
        <f>VStReiseAug</f>
        <v>0</v>
      </c>
      <c r="J28" s="35">
        <f>VStReiseSep</f>
        <v>0</v>
      </c>
      <c r="K28" s="35">
        <f>VStReiseOkt</f>
        <v>0</v>
      </c>
      <c r="L28" s="35">
        <f>VStReiseNov</f>
        <v>0</v>
      </c>
      <c r="M28" s="39">
        <f>VStReiseDez</f>
        <v>0</v>
      </c>
      <c r="N28" s="43">
        <f t="shared" si="0"/>
        <v>0</v>
      </c>
    </row>
    <row r="29" spans="1:14" ht="12.75">
      <c r="A29" t="s">
        <v>13</v>
      </c>
      <c r="B29" s="35">
        <f>VStLitJan</f>
        <v>0</v>
      </c>
      <c r="C29" s="35">
        <f>VStLitFeb</f>
        <v>0</v>
      </c>
      <c r="D29" s="35">
        <f>VStLitMär</f>
        <v>0</v>
      </c>
      <c r="E29" s="35">
        <f>VStLitApr</f>
        <v>0</v>
      </c>
      <c r="F29" s="35">
        <f>VStLitMai</f>
        <v>0</v>
      </c>
      <c r="G29" s="35">
        <f>VStLitJun</f>
        <v>0</v>
      </c>
      <c r="H29" s="35">
        <f>VStLitJul</f>
        <v>0</v>
      </c>
      <c r="I29" s="35">
        <f>VStLitAug</f>
        <v>0</v>
      </c>
      <c r="J29" s="35">
        <f>VStLitSep</f>
        <v>0</v>
      </c>
      <c r="K29" s="35">
        <f>VStLitOkt</f>
        <v>0</v>
      </c>
      <c r="L29" s="35">
        <f>VStLitNov</f>
        <v>0</v>
      </c>
      <c r="M29" s="39">
        <f>VStLitDez</f>
        <v>0</v>
      </c>
      <c r="N29" s="43">
        <f t="shared" si="0"/>
        <v>0</v>
      </c>
    </row>
    <row r="30" spans="1:14" ht="12.75">
      <c r="A30" t="s">
        <v>7</v>
      </c>
      <c r="B30" s="35">
        <f>VStBankJan</f>
        <v>0</v>
      </c>
      <c r="C30" s="35">
        <f>VStBankFeb</f>
        <v>0</v>
      </c>
      <c r="D30" s="35">
        <f>VStBankMär</f>
        <v>0</v>
      </c>
      <c r="E30" s="35">
        <f>VStBankApr</f>
        <v>0</v>
      </c>
      <c r="F30" s="35">
        <f>VStBankMai</f>
        <v>0</v>
      </c>
      <c r="G30" s="35">
        <f>VStBankJun</f>
        <v>0</v>
      </c>
      <c r="H30" s="35">
        <f>VStBankJul</f>
        <v>0</v>
      </c>
      <c r="I30" s="35">
        <f>VStBankAug</f>
        <v>0</v>
      </c>
      <c r="J30" s="35">
        <f>VStBankSep</f>
        <v>0</v>
      </c>
      <c r="K30" s="35">
        <f>VStBankOkt</f>
        <v>0</v>
      </c>
      <c r="L30" s="35">
        <f>VStBankNov</f>
        <v>0</v>
      </c>
      <c r="M30" s="39">
        <f>VStBankDez</f>
        <v>0</v>
      </c>
      <c r="N30" s="43">
        <f t="shared" si="0"/>
        <v>0</v>
      </c>
    </row>
    <row r="31" spans="1:14" ht="12.75">
      <c r="A31" t="s">
        <v>10</v>
      </c>
      <c r="B31" s="35">
        <f>VStPortoJan</f>
        <v>0</v>
      </c>
      <c r="C31" s="35">
        <f>VStPortoFeb</f>
        <v>0</v>
      </c>
      <c r="D31" s="35">
        <f>VStPortoMär</f>
        <v>0</v>
      </c>
      <c r="E31" s="35">
        <f>VStPortoApr</f>
        <v>0</v>
      </c>
      <c r="F31" s="35">
        <f>VStPortoMai</f>
        <v>0</v>
      </c>
      <c r="G31" s="35">
        <f>VStPortoJun</f>
        <v>0</v>
      </c>
      <c r="H31" s="35">
        <f>VStPortoJul</f>
        <v>0</v>
      </c>
      <c r="I31" s="35">
        <f>VStPortoAug</f>
        <v>0</v>
      </c>
      <c r="J31" s="35">
        <f>VStPortoSep</f>
        <v>0</v>
      </c>
      <c r="K31" s="35">
        <f>VStPortoOkt</f>
        <v>0</v>
      </c>
      <c r="L31" s="35">
        <f>VStPortoNov</f>
        <v>0</v>
      </c>
      <c r="M31" s="39">
        <f>VStPortoDez</f>
        <v>0</v>
      </c>
      <c r="N31" s="43">
        <f t="shared" si="0"/>
        <v>0</v>
      </c>
    </row>
    <row r="32" spans="1:14" ht="12.75">
      <c r="A32" t="s">
        <v>6</v>
      </c>
      <c r="B32" s="35">
        <f>VStArbZiJan</f>
        <v>0</v>
      </c>
      <c r="C32" s="35">
        <f>VStArbZiFeb</f>
        <v>0</v>
      </c>
      <c r="D32" s="35">
        <f>VStArbZiMär</f>
        <v>0</v>
      </c>
      <c r="E32" s="35">
        <f>VStArbZiApr</f>
        <v>0</v>
      </c>
      <c r="F32" s="35">
        <f>VStArbZiMai</f>
        <v>0</v>
      </c>
      <c r="G32" s="35">
        <f>VStArbZiJun</f>
        <v>0</v>
      </c>
      <c r="H32" s="35">
        <f>VStArbZiJul</f>
        <v>0</v>
      </c>
      <c r="I32" s="35">
        <f>VStArbZiAug</f>
        <v>0</v>
      </c>
      <c r="J32" s="35">
        <f>VStArbZiSep</f>
        <v>0</v>
      </c>
      <c r="K32" s="35">
        <f>VStArbZiOkt</f>
        <v>0</v>
      </c>
      <c r="L32" s="35">
        <f>VStArbZiNov</f>
        <v>0</v>
      </c>
      <c r="M32" s="39">
        <f>VStArbZiDez</f>
        <v>0</v>
      </c>
      <c r="N32" s="43">
        <f t="shared" si="0"/>
        <v>0</v>
      </c>
    </row>
    <row r="33" spans="1:14" ht="12.75">
      <c r="A33" t="s">
        <v>9</v>
      </c>
      <c r="B33" s="35">
        <f>VStBewJan</f>
        <v>0</v>
      </c>
      <c r="C33" s="35">
        <f>VStBewFeb</f>
        <v>0</v>
      </c>
      <c r="D33" s="35">
        <f>VStBewMär</f>
        <v>0</v>
      </c>
      <c r="E33" s="35">
        <f>VStBewApr</f>
        <v>0</v>
      </c>
      <c r="F33" s="35">
        <f>VStBewMai</f>
        <v>0</v>
      </c>
      <c r="G33" s="35">
        <f>VStBewJun</f>
        <v>0</v>
      </c>
      <c r="H33" s="35">
        <f>VStBewJul</f>
        <v>0</v>
      </c>
      <c r="I33" s="35">
        <f>VStBewAug</f>
        <v>0</v>
      </c>
      <c r="J33" s="35">
        <f>VStBewSep</f>
        <v>0</v>
      </c>
      <c r="K33" s="35">
        <f>VStBewOkt</f>
        <v>0</v>
      </c>
      <c r="L33" s="35">
        <f>VStBewNov</f>
        <v>0</v>
      </c>
      <c r="M33" s="39">
        <f>VStBewDez</f>
        <v>0</v>
      </c>
      <c r="N33" s="43">
        <f t="shared" si="0"/>
        <v>0</v>
      </c>
    </row>
    <row r="34" spans="1:14" ht="12.75">
      <c r="A34" t="s">
        <v>28</v>
      </c>
      <c r="B34" s="35">
        <f>VStSonstJan</f>
        <v>0</v>
      </c>
      <c r="C34" s="35">
        <f>VStSonstFeb</f>
        <v>0</v>
      </c>
      <c r="D34" s="35">
        <f>VStSonstMär</f>
        <v>0</v>
      </c>
      <c r="E34" s="35">
        <f>VStSonstApr</f>
        <v>0</v>
      </c>
      <c r="F34" s="35">
        <f>VStSonstMai</f>
        <v>0</v>
      </c>
      <c r="G34" s="35">
        <f>VStSonstJun</f>
        <v>0</v>
      </c>
      <c r="H34" s="35">
        <f>VStSonstJul</f>
        <v>0</v>
      </c>
      <c r="I34" s="35">
        <f>VStSonstAug</f>
        <v>0</v>
      </c>
      <c r="J34" s="35">
        <f>VStSonstSep</f>
        <v>0</v>
      </c>
      <c r="K34" s="35">
        <f>VStSonstOkt</f>
        <v>0</v>
      </c>
      <c r="L34" s="35">
        <f>VStSonstNov</f>
        <v>0</v>
      </c>
      <c r="M34" s="39">
        <f>VStSonstDez</f>
        <v>0</v>
      </c>
      <c r="N34" s="43">
        <f t="shared" si="0"/>
        <v>0</v>
      </c>
    </row>
    <row r="35" spans="1:14" ht="12.75">
      <c r="A35" t="s">
        <v>5</v>
      </c>
      <c r="B35" s="35">
        <f>VStMWJan</f>
        <v>0</v>
      </c>
      <c r="C35" s="35">
        <f>VStMWFeb</f>
        <v>0</v>
      </c>
      <c r="D35" s="35">
        <f>VStMWMär</f>
        <v>0</v>
      </c>
      <c r="E35" s="35">
        <f>VStMWApr</f>
        <v>0</v>
      </c>
      <c r="F35" s="35">
        <f>VStMWMai</f>
        <v>0</v>
      </c>
      <c r="G35" s="35">
        <f>VStMWJun</f>
        <v>0</v>
      </c>
      <c r="H35" s="35">
        <f>VStMWJul</f>
        <v>0</v>
      </c>
      <c r="I35" s="35">
        <f>VStMWAug</f>
        <v>0</v>
      </c>
      <c r="J35" s="35">
        <f>VStMWSep</f>
        <v>0</v>
      </c>
      <c r="K35" s="35">
        <f>VStMWOkt</f>
        <v>0</v>
      </c>
      <c r="L35" s="35">
        <f>VStMWNov</f>
        <v>0</v>
      </c>
      <c r="M35" s="39">
        <f>VStMWDez</f>
        <v>0</v>
      </c>
      <c r="N35" s="43">
        <f t="shared" si="0"/>
        <v>0</v>
      </c>
    </row>
    <row r="36" spans="1:14" ht="12.75">
      <c r="A36" t="s">
        <v>24</v>
      </c>
      <c r="B36" s="35">
        <f>VStPKWJan</f>
        <v>0</v>
      </c>
      <c r="C36" s="35">
        <f>VStPKWFeb</f>
        <v>0</v>
      </c>
      <c r="D36" s="35">
        <f>VStPKWMär</f>
        <v>0</v>
      </c>
      <c r="E36" s="35">
        <f>VStPKWApr</f>
        <v>0</v>
      </c>
      <c r="F36" s="35">
        <f>VStPKWMai</f>
        <v>0</v>
      </c>
      <c r="G36" s="35">
        <f>VStPKWJun</f>
        <v>0</v>
      </c>
      <c r="H36" s="35">
        <f>VStPKWJul</f>
        <v>0</v>
      </c>
      <c r="I36" s="35">
        <f>VStPKWAug</f>
        <v>0</v>
      </c>
      <c r="J36" s="35">
        <f>VStPKWSep</f>
        <v>0</v>
      </c>
      <c r="K36" s="35">
        <f>VStPKWOkt</f>
        <v>0</v>
      </c>
      <c r="L36" s="35">
        <f>VStPKWNov</f>
        <v>0</v>
      </c>
      <c r="M36" s="39">
        <f>VStPKWDez</f>
        <v>0</v>
      </c>
      <c r="N36" s="43">
        <f t="shared" si="0"/>
        <v>0</v>
      </c>
    </row>
    <row r="37" spans="1:14" ht="13.5" thickBot="1">
      <c r="A37" s="2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0"/>
      <c r="N37" s="43"/>
    </row>
    <row r="38" spans="1:14" s="1" customFormat="1" ht="13.5" thickBot="1">
      <c r="A38" s="33" t="s">
        <v>30</v>
      </c>
      <c r="B38" s="37">
        <f>SUM(B23:B37)</f>
        <v>0</v>
      </c>
      <c r="C38" s="37">
        <f aca="true" t="shared" si="2" ref="C38:M38">SUM(C23:C37)</f>
        <v>0</v>
      </c>
      <c r="D38" s="37">
        <f t="shared" si="2"/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7">
        <f t="shared" si="2"/>
        <v>0</v>
      </c>
      <c r="M38" s="41">
        <f t="shared" si="2"/>
        <v>0</v>
      </c>
      <c r="N38" s="43">
        <f t="shared" si="0"/>
        <v>0</v>
      </c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M41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10.851562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 aca="true" t="shared" si="0" ref="G2:G16">IF(E2&lt;&gt;"",D2/(100+F2*100)*100,"")</f>
      </c>
      <c r="H2" s="27">
        <f aca="true" t="shared" si="1" ref="H2:H16">IF(E2&lt;&gt;"",D2-G2,"")</f>
      </c>
      <c r="I2" s="28">
        <f>IF(A2&lt;&gt;0,MONTH(A2),"")</f>
      </c>
      <c r="K2" s="12">
        <f>DATE(SteuerJahr,1,1)</f>
        <v>40179</v>
      </c>
      <c r="L2" s="27">
        <f>SUMIF(I$2:I$41,"=1",D$2:D$41)</f>
        <v>0</v>
      </c>
      <c r="M2" s="27">
        <f>SUMIF(I$2:I$41,"=1",H$2:H$41)</f>
        <v>0</v>
      </c>
    </row>
    <row r="3" spans="1:13" ht="12.75">
      <c r="A3" s="45"/>
      <c r="B3" s="50"/>
      <c r="C3" s="53"/>
      <c r="D3" s="46"/>
      <c r="E3" s="52"/>
      <c r="F3" s="25">
        <f aca="true" t="shared" si="2" ref="F3:F40">IF(E3&lt;&gt;"",IF(YEAR(A3)&lt;=2006,"16%","19%"),"")</f>
      </c>
      <c r="G3" s="26">
        <f t="shared" si="0"/>
      </c>
      <c r="H3" s="27">
        <f t="shared" si="1"/>
      </c>
      <c r="I3" s="28">
        <f aca="true" t="shared" si="3" ref="I3:I40">IF(A3&lt;&gt;0,MONTH(A3),"")</f>
      </c>
      <c r="K3" s="12">
        <f>DATE(SteuerJahr,2,1)</f>
        <v>40210</v>
      </c>
      <c r="L3" s="27">
        <f>SUMIF(I$2:I$41,"=2",D$2:D$41)</f>
        <v>0</v>
      </c>
      <c r="M3" s="27">
        <f>SUMIF(I$2:I$41,"=2",H$2:H$41)</f>
        <v>0</v>
      </c>
    </row>
    <row r="4" spans="1:13" ht="12.75">
      <c r="A4" s="45"/>
      <c r="B4" s="50"/>
      <c r="C4" s="53"/>
      <c r="D4" s="46"/>
      <c r="E4" s="52"/>
      <c r="F4" s="25">
        <f t="shared" si="2"/>
      </c>
      <c r="G4" s="26">
        <f t="shared" si="0"/>
      </c>
      <c r="H4" s="27">
        <f t="shared" si="1"/>
      </c>
      <c r="I4" s="28">
        <f t="shared" si="3"/>
      </c>
      <c r="K4" s="12">
        <f>DATE(SteuerJahr,3,1)</f>
        <v>40238</v>
      </c>
      <c r="L4" s="27">
        <f>SUMIF(I$2:I$41,"=3",D$2:D$41)</f>
        <v>0</v>
      </c>
      <c r="M4" s="27">
        <f>SUMIF(I$2:I$41,"=3",H$2:H$41)</f>
        <v>0</v>
      </c>
    </row>
    <row r="5" spans="1:13" ht="12.75">
      <c r="A5" s="45"/>
      <c r="B5" s="50"/>
      <c r="C5" s="53"/>
      <c r="D5" s="46"/>
      <c r="E5" s="52"/>
      <c r="F5" s="25">
        <f t="shared" si="2"/>
      </c>
      <c r="G5" s="26">
        <f t="shared" si="0"/>
      </c>
      <c r="H5" s="27">
        <f t="shared" si="1"/>
      </c>
      <c r="I5" s="28">
        <f t="shared" si="3"/>
      </c>
      <c r="K5" s="12">
        <f>DATE(SteuerJahr,4,1)</f>
        <v>40269</v>
      </c>
      <c r="L5" s="27">
        <f>SUMIF(I$2:I$41,"=4",D$2:D$41)</f>
        <v>0</v>
      </c>
      <c r="M5" s="27">
        <f>SUMIF(I$2:I$41,"=4",H$2:H$41)</f>
        <v>0</v>
      </c>
    </row>
    <row r="6" spans="1:13" ht="12.75">
      <c r="A6" s="45"/>
      <c r="B6" s="50"/>
      <c r="C6" s="53"/>
      <c r="D6" s="46"/>
      <c r="E6" s="52"/>
      <c r="F6" s="25">
        <f t="shared" si="2"/>
      </c>
      <c r="G6" s="26">
        <f t="shared" si="0"/>
      </c>
      <c r="H6" s="27">
        <f t="shared" si="1"/>
      </c>
      <c r="I6" s="28">
        <f t="shared" si="3"/>
      </c>
      <c r="K6" s="12">
        <f>DATE(SteuerJahr,5,1)</f>
        <v>40299</v>
      </c>
      <c r="L6" s="27">
        <f>SUMIF(I$2:I$41,"=5",D$2:D$41)</f>
        <v>0</v>
      </c>
      <c r="M6" s="27">
        <f>SUMIF(I$2:I$41,"=5",H$2:H$41)</f>
        <v>0</v>
      </c>
    </row>
    <row r="7" spans="1:13" ht="12.75">
      <c r="A7" s="45"/>
      <c r="B7" s="50"/>
      <c r="C7" s="53"/>
      <c r="D7" s="46"/>
      <c r="E7" s="52"/>
      <c r="F7" s="25">
        <f t="shared" si="2"/>
      </c>
      <c r="G7" s="26">
        <f t="shared" si="0"/>
      </c>
      <c r="H7" s="27">
        <f t="shared" si="1"/>
      </c>
      <c r="I7" s="28">
        <f t="shared" si="3"/>
      </c>
      <c r="K7" s="12">
        <f>DATE(SteuerJahr,6,1)</f>
        <v>40330</v>
      </c>
      <c r="L7" s="27">
        <f>SUMIF(I$2:I$41,"=6",D$2:D$41)</f>
        <v>0</v>
      </c>
      <c r="M7" s="27">
        <f>SUMIF(I$2:I$41,"=6",H$2:H$41)</f>
        <v>0</v>
      </c>
    </row>
    <row r="8" spans="1:13" ht="12.75">
      <c r="A8" s="45"/>
      <c r="B8" s="50"/>
      <c r="C8" s="53"/>
      <c r="D8" s="46"/>
      <c r="E8" s="52"/>
      <c r="F8" s="25">
        <f t="shared" si="2"/>
      </c>
      <c r="G8" s="26">
        <f t="shared" si="0"/>
      </c>
      <c r="H8" s="27">
        <f t="shared" si="1"/>
      </c>
      <c r="I8" s="28">
        <f t="shared" si="3"/>
      </c>
      <c r="K8" s="12">
        <f>DATE(SteuerJahr,7,1)</f>
        <v>40360</v>
      </c>
      <c r="L8" s="27">
        <f>SUMIF(I$2:I$41,"=7",D$2:D$41)</f>
        <v>0</v>
      </c>
      <c r="M8" s="27">
        <f>SUMIF(I$2:I$41,"=7",H$2:H$41)</f>
        <v>0</v>
      </c>
    </row>
    <row r="9" spans="1:13" ht="12.75">
      <c r="A9" s="45"/>
      <c r="B9" s="50"/>
      <c r="C9" s="50"/>
      <c r="D9" s="46"/>
      <c r="E9" s="52"/>
      <c r="F9" s="25">
        <f t="shared" si="2"/>
      </c>
      <c r="G9" s="26">
        <f t="shared" si="0"/>
      </c>
      <c r="H9" s="27">
        <f t="shared" si="1"/>
      </c>
      <c r="I9" s="28">
        <f t="shared" si="3"/>
      </c>
      <c r="K9" s="12">
        <f>DATE(SteuerJahr,8,1)</f>
        <v>40391</v>
      </c>
      <c r="L9" s="27">
        <f>SUMIF(I$2:I$41,"=8",D$2:D$41)</f>
        <v>0</v>
      </c>
      <c r="M9" s="27">
        <f>SUMIF(I$2:I$41,"=8",H$2:H$41)</f>
        <v>0</v>
      </c>
    </row>
    <row r="10" spans="1:13" ht="12.75">
      <c r="A10" s="45"/>
      <c r="B10" s="50"/>
      <c r="C10" s="50"/>
      <c r="D10" s="46"/>
      <c r="E10" s="52"/>
      <c r="F10" s="25">
        <f t="shared" si="2"/>
      </c>
      <c r="G10" s="26">
        <f t="shared" si="0"/>
      </c>
      <c r="H10" s="27">
        <f t="shared" si="1"/>
      </c>
      <c r="I10" s="28">
        <f t="shared" si="3"/>
      </c>
      <c r="K10" s="12">
        <f>DATE(SteuerJahr,9,1)</f>
        <v>40422</v>
      </c>
      <c r="L10" s="27">
        <f>SUMIF(I$2:I$41,"=9",D$2:D$41)</f>
        <v>0</v>
      </c>
      <c r="M10" s="27">
        <f>SUMIF(I$2:I$41,"=9",H$2:H$41)</f>
        <v>0</v>
      </c>
    </row>
    <row r="11" spans="1:13" ht="12.75">
      <c r="A11" s="45"/>
      <c r="B11" s="50"/>
      <c r="C11" s="50"/>
      <c r="D11" s="46"/>
      <c r="E11" s="52"/>
      <c r="F11" s="25">
        <f t="shared" si="2"/>
      </c>
      <c r="G11" s="26">
        <f t="shared" si="0"/>
      </c>
      <c r="H11" s="27">
        <f t="shared" si="1"/>
      </c>
      <c r="I11" s="28">
        <f t="shared" si="3"/>
      </c>
      <c r="K11" s="12">
        <f>DATE(SteuerJahr,10,1)</f>
        <v>40452</v>
      </c>
      <c r="L11" s="27">
        <f>SUMIF(I$2:I$41,"=10",D$2:D$41)</f>
        <v>0</v>
      </c>
      <c r="M11" s="27">
        <f>SUMIF(I$2:I$41,"=10",H$2:H$41)</f>
        <v>0</v>
      </c>
    </row>
    <row r="12" spans="1:13" ht="12.75">
      <c r="A12" s="45"/>
      <c r="B12" s="50"/>
      <c r="C12" s="50"/>
      <c r="D12" s="46"/>
      <c r="E12" s="52"/>
      <c r="F12" s="25">
        <f t="shared" si="2"/>
      </c>
      <c r="G12" s="26">
        <f t="shared" si="0"/>
      </c>
      <c r="H12" s="27">
        <f t="shared" si="1"/>
      </c>
      <c r="I12" s="28">
        <f t="shared" si="3"/>
      </c>
      <c r="K12" s="12">
        <f>DATE(SteuerJahr,11,1)</f>
        <v>40483</v>
      </c>
      <c r="L12" s="27">
        <f>SUMIF(I$2:I$41,"=11",D$2:D$41)</f>
        <v>0</v>
      </c>
      <c r="M12" s="27">
        <f>SUMIF(I$2:I$41,"=11",H$2:H$41)</f>
        <v>0</v>
      </c>
    </row>
    <row r="13" spans="1:13" ht="12.75">
      <c r="A13" s="45"/>
      <c r="B13" s="50"/>
      <c r="C13" s="50"/>
      <c r="D13" s="46"/>
      <c r="E13" s="52"/>
      <c r="F13" s="25">
        <f t="shared" si="2"/>
      </c>
      <c r="G13" s="26">
        <f t="shared" si="0"/>
      </c>
      <c r="H13" s="27">
        <f t="shared" si="1"/>
      </c>
      <c r="I13" s="28">
        <f t="shared" si="3"/>
      </c>
      <c r="K13" s="12">
        <f>DATE(SteuerJahr,12,1)</f>
        <v>40513</v>
      </c>
      <c r="L13" s="27">
        <f>SUMIF(I$2:I$41,"=12",D$2:D$41)</f>
        <v>0</v>
      </c>
      <c r="M13" s="27">
        <f>SUMIF(I$2:I$41,"=12",H$2:H$41)</f>
        <v>0</v>
      </c>
    </row>
    <row r="14" spans="1:11" ht="12.75">
      <c r="A14" s="45"/>
      <c r="B14" s="50"/>
      <c r="C14" s="50"/>
      <c r="D14" s="46"/>
      <c r="E14" s="52"/>
      <c r="F14" s="25">
        <f t="shared" si="2"/>
      </c>
      <c r="G14" s="26">
        <f t="shared" si="0"/>
      </c>
      <c r="H14" s="27">
        <f t="shared" si="1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2"/>
      </c>
      <c r="G15" s="26">
        <f t="shared" si="0"/>
      </c>
      <c r="H15" s="27">
        <f t="shared" si="1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2"/>
      </c>
      <c r="G16" s="26">
        <f t="shared" si="0"/>
      </c>
      <c r="H16" s="27">
        <f t="shared" si="1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2"/>
      </c>
      <c r="G17" s="26">
        <f aca="true" t="shared" si="4" ref="G17:G22">IF(E17&lt;&gt;"",D17/(100+F17*100)*100,"")</f>
      </c>
      <c r="H17" s="27">
        <f aca="true" t="shared" si="5" ref="H17:H22">IF(E17&lt;&gt;"",D17-G17,"")</f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2"/>
      </c>
      <c r="G18" s="26">
        <f t="shared" si="4"/>
      </c>
      <c r="H18" s="27">
        <f t="shared" si="5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2"/>
      </c>
      <c r="G19" s="26">
        <f t="shared" si="4"/>
      </c>
      <c r="H19" s="27">
        <f t="shared" si="5"/>
      </c>
      <c r="I19" s="28">
        <f t="shared" si="3"/>
      </c>
    </row>
    <row r="20" spans="1:9" ht="12.75">
      <c r="A20" s="48"/>
      <c r="B20" s="47"/>
      <c r="C20" s="50"/>
      <c r="D20" s="49"/>
      <c r="F20" s="25">
        <f t="shared" si="2"/>
      </c>
      <c r="G20" s="26">
        <f t="shared" si="4"/>
      </c>
      <c r="H20" s="27">
        <f t="shared" si="5"/>
      </c>
      <c r="I20" s="28">
        <f t="shared" si="3"/>
      </c>
    </row>
    <row r="21" spans="1:9" ht="12.75">
      <c r="A21" s="48"/>
      <c r="B21" s="47"/>
      <c r="C21" s="47"/>
      <c r="D21" s="49"/>
      <c r="F21" s="25">
        <f t="shared" si="2"/>
      </c>
      <c r="G21" s="26">
        <f t="shared" si="4"/>
      </c>
      <c r="H21" s="27">
        <f t="shared" si="5"/>
      </c>
      <c r="I21" s="28">
        <f t="shared" si="3"/>
      </c>
    </row>
    <row r="22" spans="1:9" ht="12.75">
      <c r="A22" s="48"/>
      <c r="B22" s="47"/>
      <c r="C22" s="47"/>
      <c r="D22" s="49"/>
      <c r="F22" s="25">
        <f t="shared" si="2"/>
      </c>
      <c r="G22" s="26">
        <f t="shared" si="4"/>
      </c>
      <c r="H22" s="27">
        <f t="shared" si="5"/>
      </c>
      <c r="I22" s="28">
        <f t="shared" si="3"/>
      </c>
    </row>
    <row r="23" spans="1:9" ht="12.75">
      <c r="A23" s="48"/>
      <c r="B23" s="47"/>
      <c r="C23" s="47"/>
      <c r="D23" s="49"/>
      <c r="F23" s="25">
        <f aca="true" t="shared" si="6" ref="F23:F30">IF(E23&lt;&gt;"",IF(YEAR(A23)&lt;=2006,"16%","19%"),"")</f>
      </c>
      <c r="G23" s="26">
        <f aca="true" t="shared" si="7" ref="G23:G30">IF(E23&lt;&gt;"",D23/(100+F23*100)*100,"")</f>
      </c>
      <c r="H23" s="27">
        <f aca="true" t="shared" si="8" ref="H23:H30">IF(E23&lt;&gt;"",D23-G23,"")</f>
      </c>
      <c r="I23" s="28">
        <f aca="true" t="shared" si="9" ref="I23:I30">IF(A23&lt;&gt;0,MONTH(A23),"")</f>
      </c>
    </row>
    <row r="24" spans="1:9" ht="12.75">
      <c r="A24" s="48"/>
      <c r="B24" s="47"/>
      <c r="C24" s="47"/>
      <c r="D24" s="49"/>
      <c r="F24" s="25">
        <f t="shared" si="6"/>
      </c>
      <c r="G24" s="26">
        <f t="shared" si="7"/>
      </c>
      <c r="H24" s="27">
        <f t="shared" si="8"/>
      </c>
      <c r="I24" s="28">
        <f t="shared" si="9"/>
      </c>
    </row>
    <row r="25" spans="1:9" ht="12.75">
      <c r="A25" s="48"/>
      <c r="B25" s="47"/>
      <c r="C25" s="47"/>
      <c r="D25" s="49"/>
      <c r="F25" s="25">
        <f>IF(E25&lt;&gt;"",IF(YEAR(A25)&lt;=2006,"16%","19%"),"")</f>
      </c>
      <c r="G25" s="26">
        <f>IF(E25&lt;&gt;"",D25/(100+F25*100)*100,"")</f>
      </c>
      <c r="H25" s="27">
        <f>IF(E25&lt;&gt;"",D25-G25,"")</f>
      </c>
      <c r="I25" s="28">
        <f>IF(A25&lt;&gt;0,MONTH(A25),"")</f>
      </c>
    </row>
    <row r="26" spans="1:9" ht="12.75">
      <c r="A26" s="48"/>
      <c r="B26" s="47"/>
      <c r="C26" s="47"/>
      <c r="D26" s="49"/>
      <c r="F26" s="25">
        <f t="shared" si="6"/>
      </c>
      <c r="G26" s="26">
        <f t="shared" si="7"/>
      </c>
      <c r="H26" s="27">
        <f t="shared" si="8"/>
      </c>
      <c r="I26" s="28">
        <f t="shared" si="9"/>
      </c>
    </row>
    <row r="27" spans="1:9" ht="12.75">
      <c r="A27" s="48"/>
      <c r="B27" s="47"/>
      <c r="C27" s="51"/>
      <c r="D27" s="49"/>
      <c r="F27" s="25">
        <f t="shared" si="6"/>
      </c>
      <c r="G27" s="26">
        <f t="shared" si="7"/>
      </c>
      <c r="H27" s="27">
        <f t="shared" si="8"/>
      </c>
      <c r="I27" s="28">
        <f t="shared" si="9"/>
      </c>
    </row>
    <row r="28" spans="1:9" ht="12.75">
      <c r="A28" s="48"/>
      <c r="B28" s="47"/>
      <c r="C28" s="51"/>
      <c r="D28" s="49"/>
      <c r="F28" s="25">
        <f t="shared" si="6"/>
      </c>
      <c r="G28" s="26">
        <f t="shared" si="7"/>
      </c>
      <c r="H28" s="27">
        <f t="shared" si="8"/>
      </c>
      <c r="I28" s="28">
        <f t="shared" si="9"/>
      </c>
    </row>
    <row r="29" spans="1:9" ht="12.75">
      <c r="A29" s="48"/>
      <c r="B29" s="47"/>
      <c r="C29" s="51"/>
      <c r="D29" s="49"/>
      <c r="F29" s="25">
        <f t="shared" si="6"/>
      </c>
      <c r="G29" s="26">
        <f t="shared" si="7"/>
      </c>
      <c r="H29" s="27">
        <f t="shared" si="8"/>
      </c>
      <c r="I29" s="28">
        <f t="shared" si="9"/>
      </c>
    </row>
    <row r="30" spans="1:9" ht="12.75">
      <c r="A30" s="48"/>
      <c r="B30" s="47"/>
      <c r="C30" s="51"/>
      <c r="D30" s="49"/>
      <c r="F30" s="25">
        <f t="shared" si="6"/>
      </c>
      <c r="G30" s="26">
        <f t="shared" si="7"/>
      </c>
      <c r="H30" s="27">
        <f t="shared" si="8"/>
      </c>
      <c r="I30" s="28">
        <f t="shared" si="9"/>
      </c>
    </row>
    <row r="31" spans="1:9" ht="12.75">
      <c r="A31" s="48"/>
      <c r="B31" s="47"/>
      <c r="C31" s="51"/>
      <c r="D31" s="49"/>
      <c r="F31" s="25">
        <f aca="true" t="shared" si="10" ref="F31:F38">IF(E31&lt;&gt;"",IF(YEAR(A31)&lt;=2006,"16%","19%"),"")</f>
      </c>
      <c r="G31" s="26">
        <f aca="true" t="shared" si="11" ref="G31:G40">IF(E31&lt;&gt;"",D31/(100+F31*100)*100,"")</f>
      </c>
      <c r="H31" s="27">
        <f aca="true" t="shared" si="12" ref="H31:H40">IF(E31&lt;&gt;"",D31-G31,"")</f>
      </c>
      <c r="I31" s="28">
        <f aca="true" t="shared" si="13" ref="I31:I38">IF(A31&lt;&gt;0,MONTH(A31),"")</f>
      </c>
    </row>
    <row r="32" spans="1:9" ht="12.75">
      <c r="A32" s="48"/>
      <c r="B32" s="47"/>
      <c r="C32" s="51"/>
      <c r="D32" s="49"/>
      <c r="F32" s="25">
        <f t="shared" si="10"/>
      </c>
      <c r="G32" s="26">
        <f t="shared" si="11"/>
      </c>
      <c r="H32" s="27">
        <f t="shared" si="12"/>
      </c>
      <c r="I32" s="28">
        <f t="shared" si="13"/>
      </c>
    </row>
    <row r="33" spans="1:9" ht="12.75">
      <c r="A33" s="48"/>
      <c r="B33" s="47"/>
      <c r="C33" s="51"/>
      <c r="D33" s="49"/>
      <c r="F33" s="25">
        <f t="shared" si="10"/>
      </c>
      <c r="G33" s="26">
        <f t="shared" si="11"/>
      </c>
      <c r="H33" s="27">
        <f t="shared" si="12"/>
      </c>
      <c r="I33" s="28">
        <f t="shared" si="13"/>
      </c>
    </row>
    <row r="34" spans="1:9" ht="12.75">
      <c r="A34" s="45"/>
      <c r="B34" s="50"/>
      <c r="C34" s="50"/>
      <c r="D34" s="46"/>
      <c r="F34" s="25">
        <f t="shared" si="10"/>
      </c>
      <c r="G34" s="26">
        <f t="shared" si="11"/>
      </c>
      <c r="H34" s="27">
        <f t="shared" si="12"/>
      </c>
      <c r="I34" s="28">
        <f t="shared" si="13"/>
      </c>
    </row>
    <row r="35" spans="1:9" ht="12.75">
      <c r="A35" s="48"/>
      <c r="B35" s="47"/>
      <c r="C35" s="51"/>
      <c r="D35" s="49"/>
      <c r="F35" s="25">
        <f t="shared" si="10"/>
      </c>
      <c r="G35" s="26">
        <f t="shared" si="11"/>
      </c>
      <c r="H35" s="27">
        <f t="shared" si="12"/>
      </c>
      <c r="I35" s="28">
        <f t="shared" si="13"/>
      </c>
    </row>
    <row r="36" spans="1:9" ht="12.75">
      <c r="A36" s="48"/>
      <c r="B36" s="47"/>
      <c r="C36" s="47"/>
      <c r="D36" s="49"/>
      <c r="F36" s="25">
        <f t="shared" si="10"/>
      </c>
      <c r="G36" s="26">
        <f t="shared" si="11"/>
      </c>
      <c r="H36" s="27">
        <f t="shared" si="12"/>
      </c>
      <c r="I36" s="28">
        <f t="shared" si="13"/>
      </c>
    </row>
    <row r="37" spans="1:9" ht="12.75">
      <c r="A37" s="48"/>
      <c r="B37" s="47"/>
      <c r="C37" s="47"/>
      <c r="D37" s="49"/>
      <c r="F37" s="25">
        <f t="shared" si="10"/>
      </c>
      <c r="G37" s="26">
        <f t="shared" si="11"/>
      </c>
      <c r="H37" s="27">
        <f t="shared" si="12"/>
      </c>
      <c r="I37" s="28">
        <f t="shared" si="13"/>
      </c>
    </row>
    <row r="38" spans="1:9" ht="12.75">
      <c r="A38" s="48"/>
      <c r="B38" s="47"/>
      <c r="C38" s="47"/>
      <c r="D38" s="49"/>
      <c r="F38" s="25">
        <f t="shared" si="10"/>
      </c>
      <c r="G38" s="26">
        <f t="shared" si="11"/>
      </c>
      <c r="H38" s="27">
        <f t="shared" si="12"/>
      </c>
      <c r="I38" s="28">
        <f t="shared" si="13"/>
      </c>
    </row>
    <row r="39" spans="1:9" ht="12.75">
      <c r="A39" s="45"/>
      <c r="B39" s="50"/>
      <c r="C39" s="50"/>
      <c r="D39" s="46"/>
      <c r="F39" s="25">
        <f t="shared" si="2"/>
      </c>
      <c r="G39" s="26">
        <f t="shared" si="11"/>
      </c>
      <c r="H39" s="27">
        <f t="shared" si="12"/>
      </c>
      <c r="I39" s="28">
        <f t="shared" si="3"/>
      </c>
    </row>
    <row r="40" spans="1:9" ht="12.75">
      <c r="A40" s="45"/>
      <c r="B40" s="50"/>
      <c r="C40" s="50"/>
      <c r="D40" s="46"/>
      <c r="F40" s="25">
        <f t="shared" si="2"/>
      </c>
      <c r="G40" s="26">
        <f t="shared" si="11"/>
      </c>
      <c r="H40" s="27">
        <f t="shared" si="12"/>
      </c>
      <c r="I40" s="28">
        <f t="shared" si="3"/>
      </c>
    </row>
    <row r="41" spans="1:9" ht="13.5" thickBot="1">
      <c r="A41" s="14"/>
      <c r="B41" s="15"/>
      <c r="C41" s="15"/>
      <c r="D41" s="16"/>
      <c r="E41" s="17"/>
      <c r="F41" s="18"/>
      <c r="G41" s="20"/>
      <c r="H41" s="16"/>
      <c r="I41" s="15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 t="s">
        <v>32</v>
      </c>
      <c r="F2" s="25" t="str">
        <f>IF(E2&lt;&gt;"",IF(YEAR(A2)&lt;=2006,"16%","19%"),"")</f>
        <v>16%</v>
      </c>
      <c r="G2" s="26">
        <f>IF(E2&lt;&gt;"",D2/(100+F2*100)*100,"")</f>
        <v>0</v>
      </c>
      <c r="H2" s="27">
        <f>IF(E2&lt;&gt;"",D2-G2,"")</f>
        <v>0</v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20"/>
  <sheetViews>
    <sheetView workbookViewId="0" topLeftCell="A1">
      <pane ySplit="1" topLeftCell="BM2" activePane="bottomLeft" state="frozen"/>
      <selection pane="topLeft" activeCell="L2" sqref="L2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25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J1" s="1" t="s">
        <v>31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 aca="true" t="shared" si="0" ref="F2:F19"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t="shared" si="0"/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  <row r="25" ht="12.75">
      <c r="C25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M32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5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SUMIF(I$2:I$32,"=1",D$2:D$32)</f>
        <v>0</v>
      </c>
      <c r="M2" s="27">
        <f>SUMIF(I$2:I$32,"=1",H$2:H$32)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31">IF(E3&lt;&gt;"",IF(YEAR(A3)&lt;=2006,"16%","19%"),"")</f>
      </c>
      <c r="G3" s="26">
        <f aca="true" t="shared" si="1" ref="G3:G31">IF(E3&lt;&gt;"",D3/(100+F3*100)*100,"")</f>
      </c>
      <c r="H3" s="27">
        <f aca="true" t="shared" si="2" ref="H3:H31">IF(E3&lt;&gt;"",D3-G3,"")</f>
      </c>
      <c r="I3" s="28">
        <f aca="true" t="shared" si="3" ref="I3:I31">IF(A3&lt;&gt;0,MONTH(A3),"")</f>
      </c>
      <c r="K3" s="12">
        <f>DATE(SteuerJahr,2,1)</f>
        <v>40210</v>
      </c>
      <c r="L3" s="27">
        <f>SUMIF(I$2:I$32,"=2",D$2:D$32)</f>
        <v>0</v>
      </c>
      <c r="M3" s="27">
        <f>SUMIF(I$2:I$32,"=2",H$2:H$32)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SUMIF(I$2:I$32,"=3",D$2:D$32)</f>
        <v>0</v>
      </c>
      <c r="M4" s="27">
        <f>SUMIF(I$2:I$32,"=3",H$2:H$32)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SUMIF(I$2:I$32,"=4",D$2:D$32)</f>
        <v>0</v>
      </c>
      <c r="M5" s="27">
        <f>SUMIF(I$2:I$32,"=4",H$2:H$32)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SUMIF(I$2:I$32,"=5",D$2:D$32)</f>
        <v>0</v>
      </c>
      <c r="M6" s="27">
        <f>SUMIF(I$2:I$32,"=5",H$2:H$32)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SUMIF(I$2:I$32,"=6",D$2:D$32)</f>
        <v>0</v>
      </c>
      <c r="M7" s="27">
        <f>SUMIF(I$2:I$32,"=6",H$2:H$32)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SUMIF(I$2:I$32,"=7",D$2:D$32)</f>
        <v>0</v>
      </c>
      <c r="M8" s="27">
        <f>SUMIF(I$2:I$32,"=7",H$2:H$32)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SUMIF(I$2:I$32,"=8",D$2:D$32)</f>
        <v>0</v>
      </c>
      <c r="M9" s="27">
        <f>SUMIF(I$2:I$32,"=8",H$2:H$32)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SUMIF(I$2:I$32,"=9",D$2:D$32)</f>
        <v>0</v>
      </c>
      <c r="M10" s="27">
        <f>SUMIF(I$2:I$32,"=9",H$2:H$32)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SUMIF(I$2:I$32,"=10",D$2:D$32)</f>
        <v>0</v>
      </c>
      <c r="M11" s="27">
        <f>SUMIF(I$2:I$32,"=10",H$2:H$32)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SUMIF(I$2:I$32,"=11",D$2:D$32)</f>
        <v>0</v>
      </c>
      <c r="M12" s="27">
        <f>SUMIF(I$2:I$32,"=11",H$2:H$32)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SUMIF(I$2:I$32,"=12",D$2:D$32)</f>
        <v>0</v>
      </c>
      <c r="M13" s="27">
        <f>SUMIF(I$2:I$32,"=12",H$2:H$32)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aca="true" t="shared" si="4" ref="F19:F26">IF(E19&lt;&gt;"",IF(YEAR(A19)&lt;=2006,"16%","19%"),"")</f>
      </c>
      <c r="G19" s="26">
        <f aca="true" t="shared" si="5" ref="G19:G26">IF(E19&lt;&gt;"",D19/(100+F19*100)*100,"")</f>
      </c>
      <c r="H19" s="27">
        <f aca="true" t="shared" si="6" ref="H19:H26">IF(E19&lt;&gt;"",D19-G19,"")</f>
      </c>
      <c r="I19" s="28">
        <f aca="true" t="shared" si="7" ref="I19:I26">IF(A19&lt;&gt;0,MONTH(A19),"")</f>
      </c>
    </row>
    <row r="20" spans="1:9" ht="12.75">
      <c r="A20" s="44"/>
      <c r="F20" s="25">
        <f t="shared" si="4"/>
      </c>
      <c r="G20" s="26">
        <f t="shared" si="5"/>
      </c>
      <c r="H20" s="27">
        <f t="shared" si="6"/>
      </c>
      <c r="I20" s="28">
        <f t="shared" si="7"/>
      </c>
    </row>
    <row r="21" spans="1:9" ht="12.75">
      <c r="A21" s="44"/>
      <c r="F21" s="25">
        <f t="shared" si="4"/>
      </c>
      <c r="G21" s="26">
        <f t="shared" si="5"/>
      </c>
      <c r="H21" s="27">
        <f t="shared" si="6"/>
      </c>
      <c r="I21" s="28">
        <f t="shared" si="7"/>
      </c>
    </row>
    <row r="22" spans="1:9" ht="12.75">
      <c r="A22" s="44"/>
      <c r="F22" s="25">
        <f t="shared" si="4"/>
      </c>
      <c r="G22" s="26">
        <f t="shared" si="5"/>
      </c>
      <c r="H22" s="27">
        <f t="shared" si="6"/>
      </c>
      <c r="I22" s="28">
        <f t="shared" si="7"/>
      </c>
    </row>
    <row r="23" spans="1:9" ht="12.75">
      <c r="A23" s="44"/>
      <c r="F23" s="25">
        <f t="shared" si="4"/>
      </c>
      <c r="G23" s="26">
        <f t="shared" si="5"/>
      </c>
      <c r="H23" s="27">
        <f t="shared" si="6"/>
      </c>
      <c r="I23" s="28">
        <f t="shared" si="7"/>
      </c>
    </row>
    <row r="24" spans="1:9" ht="12.75">
      <c r="A24" s="44"/>
      <c r="F24" s="25">
        <f t="shared" si="4"/>
      </c>
      <c r="G24" s="26">
        <f t="shared" si="5"/>
      </c>
      <c r="H24" s="27">
        <f t="shared" si="6"/>
      </c>
      <c r="I24" s="28">
        <f t="shared" si="7"/>
      </c>
    </row>
    <row r="25" spans="1:9" ht="12.75">
      <c r="A25" s="44"/>
      <c r="F25" s="25">
        <f t="shared" si="4"/>
      </c>
      <c r="G25" s="26">
        <f t="shared" si="5"/>
      </c>
      <c r="H25" s="27">
        <f t="shared" si="6"/>
      </c>
      <c r="I25" s="28">
        <f t="shared" si="7"/>
      </c>
    </row>
    <row r="26" spans="6:9" ht="12.75">
      <c r="F26" s="25">
        <f t="shared" si="4"/>
      </c>
      <c r="G26" s="26">
        <f t="shared" si="5"/>
      </c>
      <c r="H26" s="27">
        <f t="shared" si="6"/>
      </c>
      <c r="I26" s="28">
        <f t="shared" si="7"/>
      </c>
    </row>
    <row r="27" spans="6:9" ht="12.75">
      <c r="F27" s="25">
        <f>IF(E27&lt;&gt;"",IF(YEAR(A27)&lt;=2006,"16%","19%"),"")</f>
      </c>
      <c r="G27" s="26">
        <f>IF(E27&lt;&gt;"",D27/(100+F27*100)*100,"")</f>
      </c>
      <c r="H27" s="27">
        <f>IF(E27&lt;&gt;"",D27-G27,"")</f>
      </c>
      <c r="I27" s="28">
        <f>IF(A27&lt;&gt;0,MONTH(A27),"")</f>
      </c>
    </row>
    <row r="28" spans="6:9" ht="12.75">
      <c r="F28" s="25">
        <f>IF(E28&lt;&gt;"",IF(YEAR(A28)&lt;=2006,"16%","19%"),"")</f>
      </c>
      <c r="G28" s="26">
        <f>IF(E28&lt;&gt;"",D28/(100+F28*100)*100,"")</f>
      </c>
      <c r="H28" s="27">
        <f>IF(E28&lt;&gt;"",D28-G28,"")</f>
      </c>
      <c r="I28" s="28">
        <f>IF(A28&lt;&gt;0,MONTH(A28),"")</f>
      </c>
    </row>
    <row r="29" spans="6:9" ht="12.75">
      <c r="F29" s="25">
        <f>IF(E29&lt;&gt;"",IF(YEAR(A29)&lt;=2006,"16%","19%"),"")</f>
      </c>
      <c r="G29" s="26">
        <f>IF(E29&lt;&gt;"",D29/(100+F29*100)*100,"")</f>
      </c>
      <c r="H29" s="27">
        <f>IF(E29&lt;&gt;"",D29-G29,"")</f>
      </c>
      <c r="I29" s="28">
        <f>IF(A29&lt;&gt;0,MONTH(A29),"")</f>
      </c>
    </row>
    <row r="30" spans="6:9" ht="12.75">
      <c r="F30" s="25">
        <f>IF(E30&lt;&gt;"",IF(YEAR(A30)&lt;=2006,"16%","19%"),"")</f>
      </c>
      <c r="G30" s="26">
        <f>IF(E30&lt;&gt;"",D30/(100+F30*100)*100,"")</f>
      </c>
      <c r="H30" s="27">
        <f>IF(E30&lt;&gt;"",D30-G30,"")</f>
      </c>
      <c r="I30" s="28">
        <f>IF(A30&lt;&gt;0,MONTH(A30),"")</f>
      </c>
    </row>
    <row r="31" spans="6:9" ht="12.75">
      <c r="F31" s="25">
        <f t="shared" si="0"/>
      </c>
      <c r="G31" s="26">
        <f t="shared" si="1"/>
      </c>
      <c r="H31" s="27">
        <f t="shared" si="2"/>
      </c>
      <c r="I31" s="28">
        <f t="shared" si="3"/>
      </c>
    </row>
    <row r="32" spans="1:9" ht="13.5" thickBot="1">
      <c r="A32" s="14"/>
      <c r="B32" s="15"/>
      <c r="C32" s="15"/>
      <c r="D32" s="16"/>
      <c r="E32" s="17"/>
      <c r="F32" s="18"/>
      <c r="G32" s="20"/>
      <c r="H32" s="16"/>
      <c r="I32" s="15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N37"/>
  <sheetViews>
    <sheetView workbookViewId="0" topLeftCell="A1">
      <pane ySplit="1" topLeftCell="BM2" activePane="bottomLeft" state="frozen"/>
      <selection pane="topLeft" activeCell="A2" sqref="A2:E19"/>
      <selection pane="bottomLeft" activeCell="A2" sqref="A2:E19"/>
    </sheetView>
  </sheetViews>
  <sheetFormatPr defaultColWidth="11.421875" defaultRowHeight="12.75"/>
  <cols>
    <col min="1" max="2" width="11.421875" style="7" customWidth="1"/>
    <col min="3" max="3" width="22.140625" style="0" customWidth="1"/>
    <col min="4" max="4" width="21.00390625" style="0" customWidth="1"/>
    <col min="5" max="5" width="9.7109375" style="2" customWidth="1"/>
    <col min="6" max="6" width="13.421875" style="8" customWidth="1"/>
    <col min="7" max="7" width="11.421875" style="13" customWidth="1"/>
    <col min="8" max="8" width="11.421875" style="19" customWidth="1"/>
    <col min="9" max="9" width="11.421875" style="2" customWidth="1"/>
    <col min="10" max="10" width="12.8515625" style="0" bestFit="1" customWidth="1"/>
    <col min="13" max="13" width="14.57421875" style="2" bestFit="1" customWidth="1"/>
    <col min="14" max="14" width="11.421875" style="2" customWidth="1"/>
  </cols>
  <sheetData>
    <row r="1" spans="1:14" s="1" customFormat="1" ht="13.5" thickBot="1">
      <c r="A1" s="9" t="s">
        <v>15</v>
      </c>
      <c r="B1" s="9" t="s">
        <v>23</v>
      </c>
      <c r="C1" s="3" t="s">
        <v>0</v>
      </c>
      <c r="D1" s="3" t="s">
        <v>16</v>
      </c>
      <c r="E1" s="4" t="s">
        <v>17</v>
      </c>
      <c r="F1" s="10" t="s">
        <v>18</v>
      </c>
      <c r="G1" s="21" t="s">
        <v>2</v>
      </c>
      <c r="H1" s="22" t="s">
        <v>22</v>
      </c>
      <c r="I1" s="23" t="s">
        <v>1</v>
      </c>
      <c r="J1" s="24" t="s">
        <v>19</v>
      </c>
      <c r="L1" s="3" t="s">
        <v>4</v>
      </c>
      <c r="M1" s="23" t="s">
        <v>20</v>
      </c>
      <c r="N1" s="23" t="s">
        <v>21</v>
      </c>
    </row>
    <row r="2" spans="1:14" ht="12.75">
      <c r="A2" s="45"/>
      <c r="B2" s="45"/>
      <c r="C2" s="50"/>
      <c r="D2" s="50"/>
      <c r="E2" s="46"/>
      <c r="G2" s="25">
        <f aca="true" t="shared" si="0" ref="G2:G10">IF(F2&lt;&gt;"",IF(YEAR(A2)&lt;=2006,"16%","19%"),"")</f>
      </c>
      <c r="H2" s="26">
        <f>IF(F2&lt;&gt;"",E2/(100+G2*100)*100,"")</f>
      </c>
      <c r="I2" s="27">
        <f>IF(F2&lt;&gt;"",E2-H2,"")</f>
      </c>
      <c r="J2" s="28">
        <f>IF(A2&lt;&gt;0,MONTH(A2),"")</f>
      </c>
      <c r="L2" s="12">
        <f>DATE(SteuerJahr,1,1)</f>
        <v>40179</v>
      </c>
      <c r="M2" s="27">
        <f>SUMIF(J$2:J$37,"=1",E$2:E$37)</f>
        <v>0</v>
      </c>
      <c r="N2" s="27">
        <f>SUMIF(J$2:J$37,"=1",I$2:I$37)</f>
        <v>0</v>
      </c>
    </row>
    <row r="3" spans="1:14" ht="12.75">
      <c r="A3" s="45"/>
      <c r="B3" s="45"/>
      <c r="C3" s="50"/>
      <c r="D3" s="50"/>
      <c r="E3" s="46"/>
      <c r="G3" s="25">
        <f t="shared" si="0"/>
      </c>
      <c r="H3" s="26">
        <f aca="true" t="shared" si="1" ref="H3:H36">IF(F3&lt;&gt;"",E3/(100+G3*100)*100,"")</f>
      </c>
      <c r="I3" s="27">
        <f aca="true" t="shared" si="2" ref="I3:I36">IF(F3&lt;&gt;"",E3-H3,"")</f>
      </c>
      <c r="J3" s="28">
        <f aca="true" t="shared" si="3" ref="J3:J36">IF(A3&lt;&gt;0,MONTH(A3),"")</f>
      </c>
      <c r="L3" s="12">
        <f>DATE(SteuerJahr,2,1)</f>
        <v>40210</v>
      </c>
      <c r="M3" s="27">
        <f>SUMIF(J$2:J$37,"=2",E$2:E$37)</f>
        <v>0</v>
      </c>
      <c r="N3" s="27">
        <f>SUMIF(J$2:J$37,"=2",I$2:I$37)</f>
        <v>0</v>
      </c>
    </row>
    <row r="4" spans="1:14" ht="12.75">
      <c r="A4" s="45"/>
      <c r="B4" s="45"/>
      <c r="C4" s="50"/>
      <c r="D4" s="50"/>
      <c r="E4" s="46"/>
      <c r="G4" s="25">
        <f t="shared" si="0"/>
      </c>
      <c r="H4" s="26">
        <f t="shared" si="1"/>
      </c>
      <c r="I4" s="27">
        <f t="shared" si="2"/>
      </c>
      <c r="J4" s="28">
        <f t="shared" si="3"/>
      </c>
      <c r="L4" s="12">
        <f>DATE(SteuerJahr,3,1)</f>
        <v>40238</v>
      </c>
      <c r="M4" s="27">
        <f>SUMIF(J$2:J$37,"=3",E$2:E$37)</f>
        <v>0</v>
      </c>
      <c r="N4" s="27">
        <f>SUMIF(J$2:J$37,"=3",I$2:I$37)</f>
        <v>0</v>
      </c>
    </row>
    <row r="5" spans="1:14" ht="12.75">
      <c r="A5" s="45"/>
      <c r="B5" s="45"/>
      <c r="C5" s="50"/>
      <c r="D5" s="50"/>
      <c r="E5" s="46"/>
      <c r="G5" s="25">
        <f t="shared" si="0"/>
      </c>
      <c r="H5" s="26">
        <f t="shared" si="1"/>
      </c>
      <c r="I5" s="27">
        <f t="shared" si="2"/>
      </c>
      <c r="J5" s="28">
        <f t="shared" si="3"/>
      </c>
      <c r="L5" s="12">
        <f>DATE(SteuerJahr,4,1)</f>
        <v>40269</v>
      </c>
      <c r="M5" s="27">
        <f>SUMIF(J$2:J$37,"=4",E$2:E$37)</f>
        <v>0</v>
      </c>
      <c r="N5" s="27">
        <f>SUMIF(J$2:J$37,"=4",I$2:I$37)</f>
        <v>0</v>
      </c>
    </row>
    <row r="6" spans="1:14" ht="12.75">
      <c r="A6" s="45"/>
      <c r="B6" s="45"/>
      <c r="C6" s="50"/>
      <c r="D6" s="50"/>
      <c r="E6" s="46"/>
      <c r="G6" s="25">
        <f t="shared" si="0"/>
      </c>
      <c r="H6" s="26">
        <f t="shared" si="1"/>
      </c>
      <c r="I6" s="27">
        <f t="shared" si="2"/>
      </c>
      <c r="J6" s="28">
        <f t="shared" si="3"/>
      </c>
      <c r="L6" s="12">
        <f>DATE(SteuerJahr,5,1)</f>
        <v>40299</v>
      </c>
      <c r="M6" s="27">
        <f>SUMIF(J$2:J$37,"=5",E$2:E$37)</f>
        <v>0</v>
      </c>
      <c r="N6" s="27">
        <f>SUMIF(J$2:J$37,"=5",I$2:I$37)</f>
        <v>0</v>
      </c>
    </row>
    <row r="7" spans="1:14" ht="12.75">
      <c r="A7" s="45"/>
      <c r="B7" s="45"/>
      <c r="C7" s="50"/>
      <c r="D7" s="50"/>
      <c r="E7" s="46"/>
      <c r="G7" s="25">
        <f t="shared" si="0"/>
      </c>
      <c r="H7" s="26">
        <f t="shared" si="1"/>
      </c>
      <c r="I7" s="27">
        <f t="shared" si="2"/>
      </c>
      <c r="J7" s="28">
        <f t="shared" si="3"/>
      </c>
      <c r="L7" s="12">
        <f>DATE(SteuerJahr,6,1)</f>
        <v>40330</v>
      </c>
      <c r="M7" s="27">
        <f>SUMIF(J$2:J$37,"=6",E$2:E$37)</f>
        <v>0</v>
      </c>
      <c r="N7" s="27">
        <f>SUMIF(J$2:J$37,"=6",I$2:I$37)</f>
        <v>0</v>
      </c>
    </row>
    <row r="8" spans="1:14" ht="12.75">
      <c r="A8" s="45"/>
      <c r="B8" s="45"/>
      <c r="C8" s="50"/>
      <c r="D8" s="50"/>
      <c r="E8" s="46"/>
      <c r="G8" s="25">
        <f t="shared" si="0"/>
      </c>
      <c r="H8" s="26">
        <f t="shared" si="1"/>
      </c>
      <c r="I8" s="27">
        <f t="shared" si="2"/>
      </c>
      <c r="J8" s="28">
        <f t="shared" si="3"/>
      </c>
      <c r="L8" s="12">
        <f>DATE(SteuerJahr,7,1)</f>
        <v>40360</v>
      </c>
      <c r="M8" s="27">
        <f>SUMIF(J$2:J$37,"=7",E$2:E$37)</f>
        <v>0</v>
      </c>
      <c r="N8" s="27">
        <f>SUMIF(J$2:J$37,"=7",I$2:I$37)</f>
        <v>0</v>
      </c>
    </row>
    <row r="9" spans="1:14" ht="12.75">
      <c r="A9" s="45"/>
      <c r="B9" s="45"/>
      <c r="C9" s="50"/>
      <c r="D9" s="50"/>
      <c r="E9" s="46"/>
      <c r="G9" s="25">
        <f t="shared" si="0"/>
      </c>
      <c r="H9" s="26">
        <f t="shared" si="1"/>
      </c>
      <c r="I9" s="27">
        <f t="shared" si="2"/>
      </c>
      <c r="J9" s="28">
        <f t="shared" si="3"/>
      </c>
      <c r="L9" s="12">
        <f>DATE(SteuerJahr,8,1)</f>
        <v>40391</v>
      </c>
      <c r="M9" s="27">
        <f>SUMIF(J$2:J$37,"=8",E$2:E$37)</f>
        <v>0</v>
      </c>
      <c r="N9" s="27">
        <f>SUMIF(J$2:J$37,"=8",I$2:I$37)</f>
        <v>0</v>
      </c>
    </row>
    <row r="10" spans="1:14" ht="12.75">
      <c r="A10" s="45"/>
      <c r="B10" s="45"/>
      <c r="C10" s="50"/>
      <c r="D10" s="50"/>
      <c r="E10" s="46"/>
      <c r="G10" s="25">
        <f t="shared" si="0"/>
      </c>
      <c r="H10" s="26">
        <f t="shared" si="1"/>
      </c>
      <c r="I10" s="27">
        <f t="shared" si="2"/>
      </c>
      <c r="J10" s="28">
        <f t="shared" si="3"/>
      </c>
      <c r="L10" s="12">
        <f>DATE(SteuerJahr,9,1)</f>
        <v>40422</v>
      </c>
      <c r="M10" s="27">
        <f>SUMIF(J$2:J$37,"=9",E$2:E$37)</f>
        <v>0</v>
      </c>
      <c r="N10" s="27">
        <f>SUMIF(J$2:J$37,"=9",I$2:I$37)</f>
        <v>0</v>
      </c>
    </row>
    <row r="11" spans="1:14" ht="12.75">
      <c r="A11" s="45"/>
      <c r="B11" s="45"/>
      <c r="C11" s="50"/>
      <c r="D11" s="50"/>
      <c r="E11" s="46"/>
      <c r="G11" s="25">
        <v>0.07</v>
      </c>
      <c r="H11" s="26">
        <f t="shared" si="1"/>
      </c>
      <c r="I11" s="27">
        <f t="shared" si="2"/>
      </c>
      <c r="J11" s="28">
        <f t="shared" si="3"/>
      </c>
      <c r="L11" s="12">
        <f>DATE(SteuerJahr,10,1)</f>
        <v>40452</v>
      </c>
      <c r="M11" s="27">
        <f>SUMIF(J$2:J$37,"=10",E$2:E$37)</f>
        <v>0</v>
      </c>
      <c r="N11" s="27">
        <f>SUMIF(J$2:J$37,"=10",I$2:I$37)</f>
        <v>0</v>
      </c>
    </row>
    <row r="12" spans="1:14" ht="12.75">
      <c r="A12" s="45"/>
      <c r="B12" s="45"/>
      <c r="C12" s="50"/>
      <c r="D12" s="50"/>
      <c r="E12" s="46"/>
      <c r="G12" s="25">
        <v>0.07</v>
      </c>
      <c r="H12" s="26">
        <f t="shared" si="1"/>
      </c>
      <c r="I12" s="27">
        <f t="shared" si="2"/>
      </c>
      <c r="J12" s="28">
        <f t="shared" si="3"/>
      </c>
      <c r="L12" s="12">
        <f>DATE(SteuerJahr,11,1)</f>
        <v>40483</v>
      </c>
      <c r="M12" s="27">
        <f>SUMIF(J$2:J$37,"=11",E$2:E$37)</f>
        <v>0</v>
      </c>
      <c r="N12" s="27">
        <f>SUMIF(J$2:J$37,"=11",I$2:I$37)</f>
        <v>0</v>
      </c>
    </row>
    <row r="13" spans="1:14" ht="12.75">
      <c r="A13" s="45"/>
      <c r="B13" s="45"/>
      <c r="C13" s="50"/>
      <c r="D13" s="50"/>
      <c r="E13" s="46"/>
      <c r="G13" s="25">
        <f aca="true" t="shared" si="4" ref="G13:G23">IF(F13&lt;&gt;"",IF(YEAR(A13)&lt;=2006,"16%","19%"),"")</f>
      </c>
      <c r="H13" s="26">
        <f aca="true" t="shared" si="5" ref="H13:H18">IF(F13&lt;&gt;"",E13/(100+G13*100)*100,"")</f>
      </c>
      <c r="I13" s="27">
        <f aca="true" t="shared" si="6" ref="I13:I18">IF(F13&lt;&gt;"",E13-H13,"")</f>
      </c>
      <c r="J13" s="28">
        <f aca="true" t="shared" si="7" ref="J13:J18">IF(A13&lt;&gt;0,MONTH(A13),"")</f>
      </c>
      <c r="L13" s="12">
        <f>DATE(SteuerJahr,12,1)</f>
        <v>40513</v>
      </c>
      <c r="M13" s="27">
        <f>SUMIF(J$2:J$37,"=12",E$2:E$37)</f>
        <v>0</v>
      </c>
      <c r="N13" s="27">
        <f>SUMIF(J$2:J$37,"=12",I$2:I$37)</f>
        <v>0</v>
      </c>
    </row>
    <row r="14" spans="1:12" ht="12.75">
      <c r="A14" s="45"/>
      <c r="B14" s="45"/>
      <c r="C14" s="50"/>
      <c r="D14" s="50"/>
      <c r="E14" s="46"/>
      <c r="G14" s="25">
        <f t="shared" si="4"/>
      </c>
      <c r="H14" s="26">
        <f t="shared" si="5"/>
      </c>
      <c r="I14" s="27">
        <f t="shared" si="6"/>
      </c>
      <c r="J14" s="28">
        <f t="shared" si="7"/>
      </c>
      <c r="L14" s="11"/>
    </row>
    <row r="15" spans="1:10" ht="12.75">
      <c r="A15" s="45"/>
      <c r="B15" s="45"/>
      <c r="C15" s="50"/>
      <c r="D15" s="50"/>
      <c r="E15" s="46"/>
      <c r="G15" s="25">
        <f t="shared" si="4"/>
      </c>
      <c r="H15" s="26">
        <f t="shared" si="5"/>
      </c>
      <c r="I15" s="27">
        <f t="shared" si="6"/>
      </c>
      <c r="J15" s="28">
        <f t="shared" si="7"/>
      </c>
    </row>
    <row r="16" spans="1:10" ht="12.75">
      <c r="A16" s="45"/>
      <c r="B16" s="45"/>
      <c r="C16" s="50"/>
      <c r="D16" s="50"/>
      <c r="E16" s="46"/>
      <c r="G16" s="25">
        <f t="shared" si="4"/>
      </c>
      <c r="H16" s="26">
        <f t="shared" si="5"/>
      </c>
      <c r="I16" s="27">
        <f t="shared" si="6"/>
      </c>
      <c r="J16" s="28">
        <f t="shared" si="7"/>
      </c>
    </row>
    <row r="17" spans="1:10" ht="12.75">
      <c r="A17" s="45"/>
      <c r="B17" s="45"/>
      <c r="C17" s="50"/>
      <c r="D17" s="50"/>
      <c r="E17" s="46"/>
      <c r="G17" s="25">
        <f t="shared" si="4"/>
      </c>
      <c r="H17" s="26">
        <f t="shared" si="5"/>
      </c>
      <c r="I17" s="27">
        <f t="shared" si="6"/>
      </c>
      <c r="J17" s="28">
        <f t="shared" si="7"/>
      </c>
    </row>
    <row r="18" spans="1:10" ht="12.75">
      <c r="A18" s="45"/>
      <c r="B18" s="45"/>
      <c r="C18" s="50"/>
      <c r="D18" s="50"/>
      <c r="E18" s="46"/>
      <c r="G18" s="25">
        <f t="shared" si="4"/>
      </c>
      <c r="H18" s="26">
        <f t="shared" si="5"/>
      </c>
      <c r="I18" s="27">
        <f t="shared" si="6"/>
      </c>
      <c r="J18" s="28">
        <f t="shared" si="7"/>
      </c>
    </row>
    <row r="19" spans="1:10" ht="12.75">
      <c r="A19" s="45"/>
      <c r="B19" s="45"/>
      <c r="C19" s="50"/>
      <c r="D19" s="50"/>
      <c r="E19" s="46"/>
      <c r="G19" s="25">
        <f t="shared" si="4"/>
      </c>
      <c r="H19" s="26">
        <f t="shared" si="1"/>
      </c>
      <c r="I19" s="27">
        <f t="shared" si="2"/>
      </c>
      <c r="J19" s="28">
        <f t="shared" si="3"/>
      </c>
    </row>
    <row r="20" spans="1:10" ht="12.75">
      <c r="A20" s="48"/>
      <c r="B20" s="48"/>
      <c r="C20" s="47"/>
      <c r="D20" s="47"/>
      <c r="E20" s="49"/>
      <c r="G20" s="25">
        <f t="shared" si="4"/>
      </c>
      <c r="H20" s="26">
        <f t="shared" si="1"/>
      </c>
      <c r="I20" s="27">
        <f t="shared" si="2"/>
      </c>
      <c r="J20" s="28">
        <f t="shared" si="3"/>
      </c>
    </row>
    <row r="21" spans="1:10" ht="12.75">
      <c r="A21" s="48"/>
      <c r="B21" s="48"/>
      <c r="C21" s="47"/>
      <c r="D21" s="47"/>
      <c r="E21" s="49"/>
      <c r="G21" s="25">
        <f t="shared" si="4"/>
      </c>
      <c r="H21" s="26">
        <f t="shared" si="1"/>
      </c>
      <c r="I21" s="27">
        <f t="shared" si="2"/>
      </c>
      <c r="J21" s="28">
        <f t="shared" si="3"/>
      </c>
    </row>
    <row r="22" spans="1:10" ht="12.75">
      <c r="A22" s="48"/>
      <c r="B22" s="48"/>
      <c r="C22" s="47"/>
      <c r="D22" s="47"/>
      <c r="E22" s="49"/>
      <c r="G22" s="25">
        <f t="shared" si="4"/>
      </c>
      <c r="H22" s="26">
        <f t="shared" si="1"/>
      </c>
      <c r="I22" s="27">
        <f t="shared" si="2"/>
      </c>
      <c r="J22" s="28">
        <f t="shared" si="3"/>
      </c>
    </row>
    <row r="23" spans="1:10" ht="12.75">
      <c r="A23" s="48"/>
      <c r="B23" s="48"/>
      <c r="C23" s="47"/>
      <c r="D23" s="47"/>
      <c r="E23" s="49"/>
      <c r="G23" s="25">
        <f t="shared" si="4"/>
      </c>
      <c r="H23" s="26">
        <f>IF(F23&lt;&gt;"",E23/(100+G23*100)*100,"")</f>
      </c>
      <c r="I23" s="27">
        <f>IF(F23&lt;&gt;"",E23-H23,"")</f>
      </c>
      <c r="J23" s="28">
        <f t="shared" si="3"/>
      </c>
    </row>
    <row r="24" spans="1:10" ht="12.75">
      <c r="A24" s="48"/>
      <c r="B24" s="48"/>
      <c r="C24" s="47"/>
      <c r="D24" s="47"/>
      <c r="E24" s="49"/>
      <c r="G24" s="25"/>
      <c r="H24" s="26"/>
      <c r="I24" s="27"/>
      <c r="J24" s="28">
        <f t="shared" si="3"/>
      </c>
    </row>
    <row r="25" spans="1:10" ht="12.75">
      <c r="A25" s="48"/>
      <c r="B25" s="48"/>
      <c r="C25" s="47"/>
      <c r="D25" s="47"/>
      <c r="E25" s="49"/>
      <c r="G25" s="25"/>
      <c r="H25" s="26"/>
      <c r="I25" s="27"/>
      <c r="J25" s="28">
        <f t="shared" si="3"/>
      </c>
    </row>
    <row r="26" spans="1:10" ht="12.75">
      <c r="A26" s="48"/>
      <c r="B26" s="48"/>
      <c r="C26" s="47"/>
      <c r="D26" s="47"/>
      <c r="E26" s="49"/>
      <c r="G26" s="25"/>
      <c r="H26" s="26"/>
      <c r="I26" s="27"/>
      <c r="J26" s="28">
        <f t="shared" si="3"/>
      </c>
    </row>
    <row r="27" spans="1:10" ht="12.75">
      <c r="A27" s="48"/>
      <c r="B27" s="48"/>
      <c r="C27" s="47"/>
      <c r="D27" s="47"/>
      <c r="E27" s="49"/>
      <c r="G27" s="25"/>
      <c r="H27" s="26"/>
      <c r="I27" s="27"/>
      <c r="J27" s="28">
        <f t="shared" si="3"/>
      </c>
    </row>
    <row r="28" spans="1:10" ht="12.75">
      <c r="A28" s="48"/>
      <c r="B28" s="48"/>
      <c r="C28" s="47"/>
      <c r="D28" s="47"/>
      <c r="E28" s="49"/>
      <c r="G28" s="25"/>
      <c r="H28" s="26"/>
      <c r="I28" s="27"/>
      <c r="J28" s="28">
        <f t="shared" si="3"/>
      </c>
    </row>
    <row r="29" spans="1:10" ht="12.75">
      <c r="A29" s="48"/>
      <c r="B29" s="48"/>
      <c r="C29" s="47"/>
      <c r="D29" s="47"/>
      <c r="E29" s="49"/>
      <c r="G29" s="25"/>
      <c r="H29" s="26"/>
      <c r="I29" s="27"/>
      <c r="J29" s="28">
        <f t="shared" si="3"/>
      </c>
    </row>
    <row r="30" spans="7:10" ht="12.75">
      <c r="G30" s="25"/>
      <c r="H30" s="26"/>
      <c r="I30" s="27"/>
      <c r="J30" s="28">
        <f t="shared" si="3"/>
      </c>
    </row>
    <row r="31" spans="7:10" ht="12.75">
      <c r="G31" s="25"/>
      <c r="H31" s="26"/>
      <c r="I31" s="27"/>
      <c r="J31" s="28">
        <f t="shared" si="3"/>
      </c>
    </row>
    <row r="32" spans="7:10" ht="12.75">
      <c r="G32" s="25"/>
      <c r="H32" s="26"/>
      <c r="I32" s="27"/>
      <c r="J32" s="28">
        <f t="shared" si="3"/>
      </c>
    </row>
    <row r="33" spans="7:10" ht="12.75">
      <c r="G33" s="25"/>
      <c r="H33" s="26"/>
      <c r="I33" s="27"/>
      <c r="J33" s="28">
        <f t="shared" si="3"/>
      </c>
    </row>
    <row r="34" spans="7:10" ht="12.75">
      <c r="G34" s="25">
        <f>IF(F34&lt;&gt;"",IF(YEAR(A34)&lt;=2006,"16%","19%"),"")</f>
      </c>
      <c r="H34" s="26">
        <f t="shared" si="1"/>
      </c>
      <c r="I34" s="27">
        <f t="shared" si="2"/>
      </c>
      <c r="J34" s="28">
        <f t="shared" si="3"/>
      </c>
    </row>
    <row r="35" spans="7:10" ht="12.75">
      <c r="G35" s="25">
        <f>IF(F35&lt;&gt;"",IF(YEAR(A35)&lt;=2006,"16%","19%"),"")</f>
      </c>
      <c r="H35" s="26">
        <f t="shared" si="1"/>
      </c>
      <c r="I35" s="27">
        <f t="shared" si="2"/>
      </c>
      <c r="J35" s="28">
        <f t="shared" si="3"/>
      </c>
    </row>
    <row r="36" spans="7:10" ht="12.75">
      <c r="G36" s="25">
        <f>IF(F36&lt;&gt;"",IF(YEAR(A36)&lt;=2006,"16%","19%"),"")</f>
      </c>
      <c r="H36" s="26">
        <f t="shared" si="1"/>
      </c>
      <c r="I36" s="27">
        <f t="shared" si="2"/>
      </c>
      <c r="J36" s="28">
        <f t="shared" si="3"/>
      </c>
    </row>
    <row r="37" spans="1:10" ht="13.5" thickBot="1">
      <c r="A37" s="14"/>
      <c r="B37" s="14"/>
      <c r="C37" s="15"/>
      <c r="D37" s="15"/>
      <c r="E37" s="16"/>
      <c r="F37" s="17"/>
      <c r="G37" s="18"/>
      <c r="H37" s="20"/>
      <c r="I37" s="16"/>
      <c r="J37" s="1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F9" sqref="F9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4"/>
      <c r="D2" s="46"/>
      <c r="E2" s="52"/>
      <c r="F2" s="25">
        <v>0.07</v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v>0.07</v>
      </c>
      <c r="G3" s="26">
        <f aca="true" t="shared" si="0" ref="G3:G19">IF(E3&lt;&gt;"",D3/(100+F3*100)*100,"")</f>
      </c>
      <c r="H3" s="27">
        <f aca="true" t="shared" si="1" ref="H3:H19">IF(E3&lt;&gt;"",D3-G3,"")</f>
      </c>
      <c r="I3" s="28">
        <f aca="true" t="shared" si="2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v>0.07</v>
      </c>
      <c r="G4" s="26">
        <f t="shared" si="0"/>
      </c>
      <c r="H4" s="27">
        <f t="shared" si="1"/>
      </c>
      <c r="I4" s="28">
        <f t="shared" si="2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v>0.07</v>
      </c>
      <c r="G5" s="26">
        <f t="shared" si="0"/>
      </c>
      <c r="H5" s="27">
        <f t="shared" si="1"/>
      </c>
      <c r="I5" s="28">
        <f t="shared" si="2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v>0.07</v>
      </c>
      <c r="G6" s="26">
        <f t="shared" si="0"/>
      </c>
      <c r="H6" s="27">
        <f t="shared" si="1"/>
      </c>
      <c r="I6" s="28">
        <f t="shared" si="2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v>0.07</v>
      </c>
      <c r="G7" s="26">
        <f t="shared" si="0"/>
      </c>
      <c r="H7" s="27">
        <f t="shared" si="1"/>
      </c>
      <c r="I7" s="28">
        <f t="shared" si="2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v>0.07</v>
      </c>
      <c r="G8" s="26">
        <f t="shared" si="0"/>
      </c>
      <c r="H8" s="27">
        <f t="shared" si="1"/>
      </c>
      <c r="I8" s="28">
        <f t="shared" si="2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v>0.07</v>
      </c>
      <c r="G9" s="26">
        <f t="shared" si="0"/>
      </c>
      <c r="H9" s="27">
        <f t="shared" si="1"/>
      </c>
      <c r="I9" s="28">
        <f t="shared" si="2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v>0.07</v>
      </c>
      <c r="G10" s="26">
        <f t="shared" si="0"/>
      </c>
      <c r="H10" s="27">
        <f t="shared" si="1"/>
      </c>
      <c r="I10" s="28">
        <f t="shared" si="2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v>0.07</v>
      </c>
      <c r="G11" s="26">
        <f t="shared" si="0"/>
      </c>
      <c r="H11" s="27">
        <f t="shared" si="1"/>
      </c>
      <c r="I11" s="28">
        <f t="shared" si="2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v>0.07</v>
      </c>
      <c r="G12" s="26">
        <f t="shared" si="0"/>
      </c>
      <c r="H12" s="27">
        <f t="shared" si="1"/>
      </c>
      <c r="I12" s="28">
        <f t="shared" si="2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aca="true" t="shared" si="3" ref="F13:F19">IF(E13&lt;&gt;"",IF(YEAR(A13)&lt;=2006,"16%","19%"),"")</f>
      </c>
      <c r="G13" s="26">
        <f t="shared" si="0"/>
      </c>
      <c r="H13" s="27">
        <f t="shared" si="1"/>
      </c>
      <c r="I13" s="28">
        <f t="shared" si="2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3"/>
      </c>
      <c r="G14" s="26">
        <f t="shared" si="0"/>
      </c>
      <c r="H14" s="27">
        <f t="shared" si="1"/>
      </c>
      <c r="I14" s="28">
        <f t="shared" si="2"/>
      </c>
      <c r="K14" s="11"/>
    </row>
    <row r="15" spans="1:9" ht="12.75">
      <c r="A15" s="45"/>
      <c r="B15" s="50"/>
      <c r="C15" s="50"/>
      <c r="D15" s="46"/>
      <c r="E15" s="52"/>
      <c r="F15" s="25">
        <f t="shared" si="3"/>
      </c>
      <c r="G15" s="26">
        <f t="shared" si="0"/>
      </c>
      <c r="H15" s="27">
        <f t="shared" si="1"/>
      </c>
      <c r="I15" s="28">
        <f t="shared" si="2"/>
      </c>
    </row>
    <row r="16" spans="1:9" ht="12.75">
      <c r="A16" s="45"/>
      <c r="B16" s="50"/>
      <c r="C16" s="50"/>
      <c r="D16" s="46"/>
      <c r="E16" s="52"/>
      <c r="F16" s="25">
        <f t="shared" si="3"/>
      </c>
      <c r="G16" s="26">
        <f t="shared" si="0"/>
      </c>
      <c r="H16" s="27">
        <f t="shared" si="1"/>
      </c>
      <c r="I16" s="28">
        <f t="shared" si="2"/>
      </c>
    </row>
    <row r="17" spans="1:9" ht="12.75">
      <c r="A17" s="45"/>
      <c r="B17" s="50"/>
      <c r="C17" s="50"/>
      <c r="D17" s="46"/>
      <c r="E17" s="52"/>
      <c r="F17" s="25">
        <f t="shared" si="3"/>
      </c>
      <c r="G17" s="26">
        <f t="shared" si="0"/>
      </c>
      <c r="H17" s="27">
        <f t="shared" si="1"/>
      </c>
      <c r="I17" s="28">
        <f t="shared" si="2"/>
      </c>
    </row>
    <row r="18" spans="1:9" ht="12.75">
      <c r="A18" s="45"/>
      <c r="B18" s="50"/>
      <c r="C18" s="50"/>
      <c r="D18" s="46"/>
      <c r="E18" s="52"/>
      <c r="F18" s="25">
        <f t="shared" si="3"/>
      </c>
      <c r="G18" s="26">
        <f t="shared" si="0"/>
      </c>
      <c r="H18" s="27">
        <f t="shared" si="1"/>
      </c>
      <c r="I18" s="28">
        <f t="shared" si="2"/>
      </c>
    </row>
    <row r="19" spans="1:9" ht="12.75">
      <c r="A19" s="45"/>
      <c r="B19" s="50"/>
      <c r="C19" s="50"/>
      <c r="D19" s="46"/>
      <c r="E19" s="52"/>
      <c r="F19" s="25">
        <f t="shared" si="3"/>
      </c>
      <c r="G19" s="26">
        <f t="shared" si="0"/>
      </c>
      <c r="H19" s="27">
        <f t="shared" si="1"/>
      </c>
      <c r="I19" s="28">
        <f t="shared" si="2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M20"/>
  <sheetViews>
    <sheetView workbookViewId="0" topLeftCell="A1">
      <pane ySplit="1" topLeftCell="BM2" activePane="bottomLeft" state="frozen"/>
      <selection pane="topLeft" activeCell="A2" sqref="A2:E19"/>
      <selection pane="bottomLeft" activeCell="A2" sqref="A2"/>
    </sheetView>
  </sheetViews>
  <sheetFormatPr defaultColWidth="11.421875" defaultRowHeight="12.75"/>
  <cols>
    <col min="1" max="1" width="11.421875" style="7" customWidth="1"/>
    <col min="2" max="2" width="22.140625" style="0" customWidth="1"/>
    <col min="3" max="3" width="21.00390625" style="0" customWidth="1"/>
    <col min="4" max="4" width="9.7109375" style="2" customWidth="1"/>
    <col min="5" max="5" width="13.421875" style="8" customWidth="1"/>
    <col min="6" max="6" width="11.421875" style="13" customWidth="1"/>
    <col min="7" max="7" width="11.421875" style="19" customWidth="1"/>
    <col min="8" max="8" width="11.421875" style="2" customWidth="1"/>
    <col min="9" max="9" width="12.8515625" style="0" bestFit="1" customWidth="1"/>
    <col min="12" max="12" width="14.57421875" style="2" bestFit="1" customWidth="1"/>
    <col min="13" max="13" width="11.421875" style="2" customWidth="1"/>
  </cols>
  <sheetData>
    <row r="1" spans="1:13" s="1" customFormat="1" ht="13.5" thickBot="1">
      <c r="A1" s="9" t="s">
        <v>15</v>
      </c>
      <c r="B1" s="3" t="s">
        <v>0</v>
      </c>
      <c r="C1" s="3" t="s">
        <v>16</v>
      </c>
      <c r="D1" s="4" t="s">
        <v>17</v>
      </c>
      <c r="E1" s="10" t="s">
        <v>18</v>
      </c>
      <c r="F1" s="21" t="s">
        <v>2</v>
      </c>
      <c r="G1" s="22" t="s">
        <v>22</v>
      </c>
      <c r="H1" s="23" t="s">
        <v>1</v>
      </c>
      <c r="I1" s="24" t="s">
        <v>19</v>
      </c>
      <c r="K1" s="3" t="s">
        <v>4</v>
      </c>
      <c r="L1" s="23" t="s">
        <v>20</v>
      </c>
      <c r="M1" s="23" t="s">
        <v>21</v>
      </c>
    </row>
    <row r="2" spans="1:13" ht="12.75">
      <c r="A2" s="45"/>
      <c r="B2" s="50"/>
      <c r="C2" s="50"/>
      <c r="D2" s="46"/>
      <c r="E2" s="52"/>
      <c r="F2" s="25">
        <f>IF(E2&lt;&gt;"",IF(YEAR(A2)&lt;=2006,"16%","19%"),"")</f>
      </c>
      <c r="G2" s="26">
        <f>IF(E2&lt;&gt;"",D2/(100+F2*100)*100,"")</f>
      </c>
      <c r="H2" s="27">
        <f>IF(E2&lt;&gt;"",D2-G2,"")</f>
      </c>
      <c r="I2" s="28">
        <f>IF(A2&lt;&gt;0,MONTH(A2),"")</f>
      </c>
      <c r="K2" s="12">
        <f>DATE(SteuerJahr,1,1)</f>
        <v>40179</v>
      </c>
      <c r="L2" s="27">
        <f>SUMIF(I$2:I$20,"=1",D$2:D$20)</f>
        <v>0</v>
      </c>
      <c r="M2" s="27">
        <f>SUMIF(I$2:I$20,"=1",H$2:H$20)</f>
        <v>0</v>
      </c>
    </row>
    <row r="3" spans="1:13" ht="12.75">
      <c r="A3" s="45"/>
      <c r="B3" s="50"/>
      <c r="C3" s="50"/>
      <c r="D3" s="46"/>
      <c r="E3" s="52"/>
      <c r="F3" s="25">
        <f aca="true" t="shared" si="0" ref="F3:F19">IF(E3&lt;&gt;"",IF(YEAR(A3)&lt;=2006,"16%","19%"),"")</f>
      </c>
      <c r="G3" s="26">
        <f aca="true" t="shared" si="1" ref="G3:G19">IF(E3&lt;&gt;"",D3/(100+F3*100)*100,"")</f>
      </c>
      <c r="H3" s="27">
        <f aca="true" t="shared" si="2" ref="H3:H19">IF(E3&lt;&gt;"",D3-G3,"")</f>
      </c>
      <c r="I3" s="28">
        <f aca="true" t="shared" si="3" ref="I3:I19">IF(A3&lt;&gt;0,MONTH(A3),"")</f>
      </c>
      <c r="K3" s="12">
        <f>DATE(SteuerJahr,2,1)</f>
        <v>40210</v>
      </c>
      <c r="L3" s="27">
        <f>SUMIF(I$2:I$20,"=2",D$2:D$20)</f>
        <v>0</v>
      </c>
      <c r="M3" s="27">
        <f>SUMIF(I$2:I$20,"=2",H$2:H$20)</f>
        <v>0</v>
      </c>
    </row>
    <row r="4" spans="1:13" ht="12.75">
      <c r="A4" s="45"/>
      <c r="B4" s="50"/>
      <c r="C4" s="50"/>
      <c r="D4" s="46"/>
      <c r="E4" s="52"/>
      <c r="F4" s="25">
        <f t="shared" si="0"/>
      </c>
      <c r="G4" s="26">
        <f t="shared" si="1"/>
      </c>
      <c r="H4" s="27">
        <f t="shared" si="2"/>
      </c>
      <c r="I4" s="28">
        <f t="shared" si="3"/>
      </c>
      <c r="K4" s="12">
        <f>DATE(SteuerJahr,3,1)</f>
        <v>40238</v>
      </c>
      <c r="L4" s="27">
        <f>SUMIF(I$2:I$20,"=3",D$2:D$20)</f>
        <v>0</v>
      </c>
      <c r="M4" s="27">
        <f>SUMIF(I$2:I$20,"=3",H$2:H$20)</f>
        <v>0</v>
      </c>
    </row>
    <row r="5" spans="1:13" ht="12.75">
      <c r="A5" s="45"/>
      <c r="B5" s="50"/>
      <c r="C5" s="50"/>
      <c r="D5" s="46"/>
      <c r="E5" s="52"/>
      <c r="F5" s="25">
        <f t="shared" si="0"/>
      </c>
      <c r="G5" s="26">
        <f t="shared" si="1"/>
      </c>
      <c r="H5" s="27">
        <f t="shared" si="2"/>
      </c>
      <c r="I5" s="28">
        <f t="shared" si="3"/>
      </c>
      <c r="K5" s="12">
        <f>DATE(SteuerJahr,4,1)</f>
        <v>40269</v>
      </c>
      <c r="L5" s="27">
        <f>SUMIF(I$2:I$20,"=4",D$2:D$20)</f>
        <v>0</v>
      </c>
      <c r="M5" s="27">
        <f>SUMIF(I$2:I$20,"=4",H$2:H$20)</f>
        <v>0</v>
      </c>
    </row>
    <row r="6" spans="1:13" ht="12.75">
      <c r="A6" s="45"/>
      <c r="B6" s="50"/>
      <c r="C6" s="50"/>
      <c r="D6" s="46"/>
      <c r="E6" s="52"/>
      <c r="F6" s="25">
        <f t="shared" si="0"/>
      </c>
      <c r="G6" s="26">
        <f t="shared" si="1"/>
      </c>
      <c r="H6" s="27">
        <f t="shared" si="2"/>
      </c>
      <c r="I6" s="28">
        <f t="shared" si="3"/>
      </c>
      <c r="K6" s="12">
        <f>DATE(SteuerJahr,5,1)</f>
        <v>40299</v>
      </c>
      <c r="L6" s="27">
        <f>SUMIF(I$2:I$20,"=5",D$2:D$20)</f>
        <v>0</v>
      </c>
      <c r="M6" s="27">
        <f>SUMIF(I$2:I$20,"=5",H$2:H$20)</f>
        <v>0</v>
      </c>
    </row>
    <row r="7" spans="1:13" ht="12.75">
      <c r="A7" s="45"/>
      <c r="B7" s="50"/>
      <c r="C7" s="50"/>
      <c r="D7" s="46"/>
      <c r="E7" s="52"/>
      <c r="F7" s="25">
        <f t="shared" si="0"/>
      </c>
      <c r="G7" s="26">
        <f t="shared" si="1"/>
      </c>
      <c r="H7" s="27">
        <f t="shared" si="2"/>
      </c>
      <c r="I7" s="28">
        <f t="shared" si="3"/>
      </c>
      <c r="K7" s="12">
        <f>DATE(SteuerJahr,6,1)</f>
        <v>40330</v>
      </c>
      <c r="L7" s="27">
        <f>SUMIF(I$2:I$20,"=6",D$2:D$20)</f>
        <v>0</v>
      </c>
      <c r="M7" s="27">
        <f>SUMIF(I$2:I$20,"=6",H$2:H$20)</f>
        <v>0</v>
      </c>
    </row>
    <row r="8" spans="1:13" ht="12.75">
      <c r="A8" s="45"/>
      <c r="B8" s="50"/>
      <c r="C8" s="50"/>
      <c r="D8" s="46"/>
      <c r="E8" s="52"/>
      <c r="F8" s="25">
        <f t="shared" si="0"/>
      </c>
      <c r="G8" s="26">
        <f t="shared" si="1"/>
      </c>
      <c r="H8" s="27">
        <f t="shared" si="2"/>
      </c>
      <c r="I8" s="28">
        <f t="shared" si="3"/>
      </c>
      <c r="K8" s="12">
        <f>DATE(SteuerJahr,7,1)</f>
        <v>40360</v>
      </c>
      <c r="L8" s="27">
        <f>SUMIF(I$2:I$20,"=7",D$2:D$20)</f>
        <v>0</v>
      </c>
      <c r="M8" s="27">
        <f>SUMIF(I$2:I$20,"=7",H$2:H$20)</f>
        <v>0</v>
      </c>
    </row>
    <row r="9" spans="1:13" ht="12.75">
      <c r="A9" s="45"/>
      <c r="B9" s="50"/>
      <c r="C9" s="50"/>
      <c r="D9" s="46"/>
      <c r="E9" s="52"/>
      <c r="F9" s="25">
        <f t="shared" si="0"/>
      </c>
      <c r="G9" s="26">
        <f t="shared" si="1"/>
      </c>
      <c r="H9" s="27">
        <f t="shared" si="2"/>
      </c>
      <c r="I9" s="28">
        <f t="shared" si="3"/>
      </c>
      <c r="K9" s="12">
        <f>DATE(SteuerJahr,8,1)</f>
        <v>40391</v>
      </c>
      <c r="L9" s="27">
        <f>SUMIF(I$2:I$20,"=8",D$2:D$20)</f>
        <v>0</v>
      </c>
      <c r="M9" s="27">
        <f>SUMIF(I$2:I$20,"=8",H$2:H$20)</f>
        <v>0</v>
      </c>
    </row>
    <row r="10" spans="1:13" ht="12.75">
      <c r="A10" s="45"/>
      <c r="B10" s="50"/>
      <c r="C10" s="50"/>
      <c r="D10" s="46"/>
      <c r="E10" s="52"/>
      <c r="F10" s="25">
        <f t="shared" si="0"/>
      </c>
      <c r="G10" s="26">
        <f t="shared" si="1"/>
      </c>
      <c r="H10" s="27">
        <f t="shared" si="2"/>
      </c>
      <c r="I10" s="28">
        <f t="shared" si="3"/>
      </c>
      <c r="K10" s="12">
        <f>DATE(SteuerJahr,9,1)</f>
        <v>40422</v>
      </c>
      <c r="L10" s="27">
        <f>SUMIF(I$2:I$20,"=9",D$2:D$20)</f>
        <v>0</v>
      </c>
      <c r="M10" s="27">
        <f>SUMIF(I$2:I$20,"=9",H$2:H$20)</f>
        <v>0</v>
      </c>
    </row>
    <row r="11" spans="1:13" ht="12.75">
      <c r="A11" s="45"/>
      <c r="B11" s="50"/>
      <c r="C11" s="50"/>
      <c r="D11" s="46"/>
      <c r="E11" s="52"/>
      <c r="F11" s="25">
        <f t="shared" si="0"/>
      </c>
      <c r="G11" s="26">
        <f t="shared" si="1"/>
      </c>
      <c r="H11" s="27">
        <f t="shared" si="2"/>
      </c>
      <c r="I11" s="28">
        <f t="shared" si="3"/>
      </c>
      <c r="K11" s="12">
        <f>DATE(SteuerJahr,10,1)</f>
        <v>40452</v>
      </c>
      <c r="L11" s="27">
        <f>SUMIF(I$2:I$20,"=10",D$2:D$20)</f>
        <v>0</v>
      </c>
      <c r="M11" s="27">
        <f>SUMIF(I$2:I$20,"=10",H$2:H$20)</f>
        <v>0</v>
      </c>
    </row>
    <row r="12" spans="1:13" ht="12.75">
      <c r="A12" s="45"/>
      <c r="B12" s="50"/>
      <c r="C12" s="50"/>
      <c r="D12" s="46"/>
      <c r="E12" s="52"/>
      <c r="F12" s="25">
        <f t="shared" si="0"/>
      </c>
      <c r="G12" s="26">
        <f t="shared" si="1"/>
      </c>
      <c r="H12" s="27">
        <f t="shared" si="2"/>
      </c>
      <c r="I12" s="28">
        <f t="shared" si="3"/>
      </c>
      <c r="K12" s="12">
        <f>DATE(SteuerJahr,11,1)</f>
        <v>40483</v>
      </c>
      <c r="L12" s="27">
        <f>SUMIF(I$2:I$20,"=11",D$2:D$20)</f>
        <v>0</v>
      </c>
      <c r="M12" s="27">
        <f>SUMIF(I$2:I$20,"=11",H$2:H$20)</f>
        <v>0</v>
      </c>
    </row>
    <row r="13" spans="1:13" ht="12.75">
      <c r="A13" s="45"/>
      <c r="B13" s="50"/>
      <c r="C13" s="50"/>
      <c r="D13" s="46"/>
      <c r="E13" s="52"/>
      <c r="F13" s="25">
        <f t="shared" si="0"/>
      </c>
      <c r="G13" s="26">
        <f t="shared" si="1"/>
      </c>
      <c r="H13" s="27">
        <f t="shared" si="2"/>
      </c>
      <c r="I13" s="28">
        <f t="shared" si="3"/>
      </c>
      <c r="K13" s="12">
        <f>DATE(SteuerJahr,12,1)</f>
        <v>40513</v>
      </c>
      <c r="L13" s="27">
        <f>SUMIF(I$2:I$20,"=12",D$2:D$20)</f>
        <v>0</v>
      </c>
      <c r="M13" s="27">
        <f>SUMIF(I$2:I$20,"=12",H$2:H$20)</f>
        <v>0</v>
      </c>
    </row>
    <row r="14" spans="1:11" ht="12.75">
      <c r="A14" s="45"/>
      <c r="B14" s="50"/>
      <c r="C14" s="50"/>
      <c r="D14" s="46"/>
      <c r="E14" s="52"/>
      <c r="F14" s="25">
        <f t="shared" si="0"/>
      </c>
      <c r="G14" s="26">
        <f t="shared" si="1"/>
      </c>
      <c r="H14" s="27">
        <f t="shared" si="2"/>
      </c>
      <c r="I14" s="28">
        <f t="shared" si="3"/>
      </c>
      <c r="K14" s="11"/>
    </row>
    <row r="15" spans="1:9" ht="12.75">
      <c r="A15" s="45"/>
      <c r="B15" s="50"/>
      <c r="C15" s="50"/>
      <c r="D15" s="46"/>
      <c r="E15" s="52"/>
      <c r="F15" s="25">
        <f t="shared" si="0"/>
      </c>
      <c r="G15" s="26">
        <f t="shared" si="1"/>
      </c>
      <c r="H15" s="27">
        <f t="shared" si="2"/>
      </c>
      <c r="I15" s="28">
        <f t="shared" si="3"/>
      </c>
    </row>
    <row r="16" spans="1:9" ht="12.75">
      <c r="A16" s="45"/>
      <c r="B16" s="50"/>
      <c r="C16" s="50"/>
      <c r="D16" s="46"/>
      <c r="E16" s="52"/>
      <c r="F16" s="25">
        <f t="shared" si="0"/>
      </c>
      <c r="G16" s="26">
        <f t="shared" si="1"/>
      </c>
      <c r="H16" s="27">
        <f t="shared" si="2"/>
      </c>
      <c r="I16" s="28">
        <f t="shared" si="3"/>
      </c>
    </row>
    <row r="17" spans="1:9" ht="12.75">
      <c r="A17" s="45"/>
      <c r="B17" s="50"/>
      <c r="C17" s="50"/>
      <c r="D17" s="46"/>
      <c r="E17" s="52"/>
      <c r="F17" s="25">
        <f t="shared" si="0"/>
      </c>
      <c r="G17" s="26">
        <f t="shared" si="1"/>
      </c>
      <c r="H17" s="27">
        <f t="shared" si="2"/>
      </c>
      <c r="I17" s="28">
        <f t="shared" si="3"/>
      </c>
    </row>
    <row r="18" spans="1:9" ht="12.75">
      <c r="A18" s="45"/>
      <c r="B18" s="50"/>
      <c r="C18" s="50"/>
      <c r="D18" s="46"/>
      <c r="E18" s="52"/>
      <c r="F18" s="25">
        <f t="shared" si="0"/>
      </c>
      <c r="G18" s="26">
        <f t="shared" si="1"/>
      </c>
      <c r="H18" s="27">
        <f t="shared" si="2"/>
      </c>
      <c r="I18" s="28">
        <f t="shared" si="3"/>
      </c>
    </row>
    <row r="19" spans="1:9" ht="12.75">
      <c r="A19" s="45"/>
      <c r="B19" s="50"/>
      <c r="C19" s="50"/>
      <c r="D19" s="46"/>
      <c r="E19" s="52"/>
      <c r="F19" s="25">
        <f t="shared" si="0"/>
      </c>
      <c r="G19" s="26">
        <f t="shared" si="1"/>
      </c>
      <c r="H19" s="27">
        <f t="shared" si="2"/>
      </c>
      <c r="I19" s="28">
        <f t="shared" si="3"/>
      </c>
    </row>
    <row r="20" spans="1:9" ht="13.5" thickBot="1">
      <c r="A20" s="14"/>
      <c r="B20" s="15"/>
      <c r="C20" s="15"/>
      <c r="D20" s="16"/>
      <c r="E20" s="17"/>
      <c r="F20" s="18"/>
      <c r="G20" s="20"/>
      <c r="H20" s="16"/>
      <c r="I20" s="1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Consulting Thomas Wiegand, www.knowledge-partner.de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Wiegand</dc:creator>
  <cp:keywords/>
  <dc:description/>
  <cp:lastModifiedBy>Thomas Wiegand</cp:lastModifiedBy>
  <cp:lastPrinted>2006-09-26T12:30:38Z</cp:lastPrinted>
  <dcterms:created xsi:type="dcterms:W3CDTF">2006-09-20T06:55:13Z</dcterms:created>
  <dcterms:modified xsi:type="dcterms:W3CDTF">2010-03-10T19:48:25Z</dcterms:modified>
  <cp:category/>
  <cp:version/>
  <cp:contentType/>
  <cp:contentStatus/>
</cp:coreProperties>
</file>